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ECS-430\"/>
    </mc:Choice>
  </mc:AlternateContent>
  <bookViews>
    <workbookView xWindow="0" yWindow="0" windowWidth="21600" windowHeight="10320" activeTab="1"/>
  </bookViews>
  <sheets>
    <sheet name="Cash Management" sheetId="7" r:id="rId1"/>
    <sheet name="Potatoes" sheetId="8" r:id="rId2"/>
    <sheet name="Pricing" sheetId="4" r:id="rId3"/>
    <sheet name="Bertrand" sheetId="6" r:id="rId4"/>
  </sheets>
  <externalReferences>
    <externalReference r:id="rId5"/>
    <externalReference r:id="rId6"/>
  </externalReferences>
  <definedNames>
    <definedName name="_Fill" hidden="1">#REF!</definedName>
    <definedName name="_Table1_In1" hidden="1">'[1]Overbooking 1'!#REF!</definedName>
    <definedName name="alpha">#REF!</definedName>
    <definedName name="k">[2]Complaints!$B$22</definedName>
    <definedName name="p.price">Potatoes!$F$15</definedName>
    <definedName name="Pr_problem">[2]Complaints!$B$19</definedName>
    <definedName name="s.price">Potatoes!$F$14</definedName>
    <definedName name="sample">[2]Complaints!$B$21</definedName>
    <definedName name="solver_adj" localSheetId="3" hidden="1">Bertrand!$D$16</definedName>
    <definedName name="solver_adj" localSheetId="0" hidden="1">'Cash Management'!$C$14</definedName>
    <definedName name="solver_adj" localSheetId="1" hidden="1">Potatoes!$C$14,Potatoes!$C$15</definedName>
    <definedName name="solver_adj" localSheetId="2" hidden="1">Bertrand!$D$16</definedName>
    <definedName name="solver_cvg" localSheetId="3" hidden="1">0.0001</definedName>
    <definedName name="solver_cvg" localSheetId="0" hidden="1">0.0001</definedName>
    <definedName name="solver_cvg" localSheetId="1" hidden="1">0.001</definedName>
    <definedName name="solver_cvg" localSheetId="2" hidden="1">0.0001</definedName>
    <definedName name="solver_drv" localSheetId="3" hidden="1">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st" localSheetId="3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3" hidden="1">100</definedName>
    <definedName name="solver_itr" localSheetId="0" hidden="1">100</definedName>
    <definedName name="solver_itr" localSheetId="1" hidden="1">100</definedName>
    <definedName name="solver_itr" localSheetId="2" hidden="1">100</definedName>
    <definedName name="solver_lhs1" localSheetId="0" hidden="1">'Cash Management'!$C$14</definedName>
    <definedName name="solver_lhs1" localSheetId="1" hidden="1">Potatoes!$C$19</definedName>
    <definedName name="solver_lhs1" localSheetId="2" hidden="1">Pricing!$D$42</definedName>
    <definedName name="solver_lhs2" localSheetId="0" hidden="1">'Cash Management'!$C$49</definedName>
    <definedName name="solver_lhs2" localSheetId="1" hidden="1">Potatoes!$C$20</definedName>
    <definedName name="solver_lhs3" localSheetId="1" hidden="1">Potatoes!$C$14:$C$15</definedName>
    <definedName name="solver_lin" localSheetId="3" hidden="1">2</definedName>
    <definedName name="solver_lin" localSheetId="0" hidden="1">2</definedName>
    <definedName name="solver_lin" localSheetId="1" hidden="1">1</definedName>
    <definedName name="solver_lin" localSheetId="2" hidden="1">2</definedName>
    <definedName name="solver_neg" localSheetId="3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um" localSheetId="3" hidden="1">0</definedName>
    <definedName name="solver_num" localSheetId="0" hidden="1">1</definedName>
    <definedName name="solver_num" localSheetId="1" hidden="1">3</definedName>
    <definedName name="solver_num" localSheetId="2" hidden="1">0</definedName>
    <definedName name="solver_nwt" localSheetId="3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3" hidden="1">Bertrand!$D$27</definedName>
    <definedName name="solver_opt" localSheetId="0" hidden="1">'Cash Management'!$C$18</definedName>
    <definedName name="solver_opt" localSheetId="1" hidden="1">Potatoes!$C$17</definedName>
    <definedName name="solver_opt" localSheetId="2" hidden="1">Bertrand!$D$27</definedName>
    <definedName name="solver_pre" localSheetId="3" hidden="1">0.000001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el1" localSheetId="0" hidden="1">3</definedName>
    <definedName name="solver_rel1" localSheetId="1" hidden="1">1</definedName>
    <definedName name="solver_rel1" localSheetId="2" hidden="1">2</definedName>
    <definedName name="solver_rel2" localSheetId="0" hidden="1">1</definedName>
    <definedName name="solver_rel2" localSheetId="1" hidden="1">3</definedName>
    <definedName name="solver_rel3" localSheetId="1" hidden="1">3</definedName>
    <definedName name="solver_rhs1" localSheetId="0" hidden="1">0</definedName>
    <definedName name="solver_rhs1" localSheetId="1" hidden="1">Potatoes!$E$19</definedName>
    <definedName name="solver_rhs1" localSheetId="2" hidden="1">Pricing!$C$42</definedName>
    <definedName name="solver_rhs2" localSheetId="0" hidden="1">0</definedName>
    <definedName name="solver_rhs2" localSheetId="1" hidden="1">Potatoes!$E$20</definedName>
    <definedName name="solver_rhs3" localSheetId="1" hidden="1">0</definedName>
    <definedName name="solver_scl" localSheetId="3" hidden="1">2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ho" localSheetId="3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tim" localSheetId="3" hidden="1">100</definedName>
    <definedName name="solver_tim" localSheetId="0" hidden="1">100</definedName>
    <definedName name="solver_tim" localSheetId="1" hidden="1">100</definedName>
    <definedName name="solver_tim" localSheetId="2" hidden="1">100</definedName>
    <definedName name="solver_tmp" localSheetId="1" hidden="1">0</definedName>
    <definedName name="solver_tol" localSheetId="3" hidden="1">0.05</definedName>
    <definedName name="solver_tol" localSheetId="0" hidden="1">0.05</definedName>
    <definedName name="solver_tol" localSheetId="1" hidden="1">0.05</definedName>
    <definedName name="solver_tol" localSheetId="2" hidden="1">0.05</definedName>
    <definedName name="solver_typ" localSheetId="3" hidden="1">3</definedName>
    <definedName name="solver_typ" localSheetId="0" hidden="1">2</definedName>
    <definedName name="solver_typ" localSheetId="1" hidden="1">1</definedName>
    <definedName name="solver_typ" localSheetId="2" hidden="1">3</definedName>
    <definedName name="solver_val" localSheetId="3" hidden="1">0</definedName>
    <definedName name="solver_val" localSheetId="0" hidden="1">0</definedName>
    <definedName name="solver_val" localSheetId="1" hidden="1">0</definedName>
    <definedName name="solver_val" localSheetId="2" hidden="1">0</definedName>
  </definedNames>
  <calcPr calcId="152511"/>
</workbook>
</file>

<file path=xl/calcChain.xml><?xml version="1.0" encoding="utf-8"?>
<calcChain xmlns="http://schemas.openxmlformats.org/spreadsheetml/2006/main">
  <c r="J14" i="7" l="1"/>
  <c r="C15" i="7"/>
  <c r="J15" i="7"/>
  <c r="J16" i="7"/>
  <c r="C17" i="7"/>
  <c r="C18" i="7" s="1"/>
  <c r="J13" i="7" s="1"/>
  <c r="C51" i="7"/>
  <c r="C53" i="7" s="1"/>
  <c r="C70" i="7" s="1"/>
  <c r="J52" i="7" s="1"/>
  <c r="C52" i="7"/>
  <c r="J53" i="7"/>
  <c r="J54" i="7"/>
  <c r="J55" i="7"/>
  <c r="J56" i="7"/>
  <c r="C61" i="7"/>
  <c r="C62" i="7"/>
  <c r="C63" i="7"/>
  <c r="C69" i="7"/>
  <c r="J13" i="8"/>
  <c r="C19" i="8"/>
  <c r="J14" i="8"/>
  <c r="J16" i="8"/>
  <c r="J16" i="8" a="1"/>
  <c r="C17" i="8"/>
  <c r="J12" i="8" s="1"/>
  <c r="J17" i="8"/>
  <c r="C20" i="8"/>
  <c r="J15" i="8" s="1"/>
  <c r="C29" i="6"/>
  <c r="C28" i="6"/>
  <c r="D22" i="6"/>
  <c r="C16" i="6"/>
  <c r="C22" i="6" s="1"/>
  <c r="D18" i="6"/>
  <c r="D19" i="6" s="1"/>
  <c r="C18" i="6"/>
  <c r="C19" i="6" s="1"/>
  <c r="F88" i="4"/>
  <c r="F87" i="4"/>
  <c r="C82" i="4"/>
  <c r="C84" i="4" s="1"/>
  <c r="C85" i="4" s="1"/>
  <c r="F86" i="4" s="1"/>
  <c r="D84" i="4"/>
  <c r="D85" i="4" s="1"/>
  <c r="F63" i="4"/>
  <c r="F62" i="4"/>
  <c r="C57" i="4"/>
  <c r="D59" i="4" s="1"/>
  <c r="D60" i="4" s="1"/>
  <c r="F61" i="4" s="1"/>
  <c r="F73" i="4"/>
  <c r="F72" i="4"/>
  <c r="C67" i="4"/>
  <c r="D69" i="4" s="1"/>
  <c r="D70" i="4" s="1"/>
  <c r="F71" i="4" s="1"/>
  <c r="C69" i="4"/>
  <c r="C70" i="4" s="1"/>
  <c r="C59" i="4"/>
  <c r="C60" i="4" s="1"/>
  <c r="F48" i="4"/>
  <c r="F47" i="4"/>
  <c r="F46" i="4"/>
  <c r="D44" i="4"/>
  <c r="D45" i="4"/>
  <c r="F45" i="4" s="1"/>
  <c r="C44" i="4"/>
  <c r="C45" i="4" s="1"/>
  <c r="F40" i="4"/>
  <c r="F39" i="4"/>
  <c r="D36" i="4"/>
  <c r="D37" i="4" s="1"/>
  <c r="F38" i="4" s="1"/>
  <c r="C36" i="4"/>
  <c r="C37" i="4"/>
  <c r="C18" i="4"/>
  <c r="D24" i="6" l="1"/>
  <c r="D25" i="6" s="1"/>
  <c r="D27" i="6" s="1"/>
  <c r="C27" i="6" s="1"/>
  <c r="C24" i="6"/>
  <c r="C25" i="6" s="1"/>
</calcChain>
</file>

<file path=xl/sharedStrings.xml><?xml version="1.0" encoding="utf-8"?>
<sst xmlns="http://schemas.openxmlformats.org/spreadsheetml/2006/main" count="197" uniqueCount="155">
  <si>
    <t>The Irish Potato Famine</t>
  </si>
  <si>
    <t>(a fanciful example)</t>
  </si>
  <si>
    <t>A good Irish family likes to eat steak and potatoes for dinner</t>
  </si>
  <si>
    <t>most nights. A pound of steak costs 6 shillings, and a pound of</t>
  </si>
  <si>
    <t>to keep everyone well-fed. Subject to these constraints, they'd</t>
  </si>
  <si>
    <t>like to get as much nourishment as possible from tasty steak,</t>
  </si>
  <si>
    <t>rather than from bland potatoes.</t>
  </si>
  <si>
    <t>How should they plan their weekly purchases?</t>
  </si>
  <si>
    <t>food</t>
  </si>
  <si>
    <t>steak</t>
  </si>
  <si>
    <t>price of steak</t>
  </si>
  <si>
    <t>plan</t>
  </si>
  <si>
    <t>potatoes</t>
  </si>
  <si>
    <t>price of potatoes</t>
  </si>
  <si>
    <t>maximize</t>
  </si>
  <si>
    <t>(steak)</t>
  </si>
  <si>
    <t>subject to</t>
  </si>
  <si>
    <t>&lt;=</t>
  </si>
  <si>
    <t>(cash constraint)</t>
  </si>
  <si>
    <t>&gt;=</t>
  </si>
  <si>
    <t>(quantity constraint)</t>
  </si>
  <si>
    <t>We can let Solver plan out the family purchases. This time, select</t>
  </si>
  <si>
    <t>Select "Solve", and we soon see that the best the family can do</t>
  </si>
  <si>
    <t>Imagine that the benevolent English government foresees a poor</t>
  </si>
  <si>
    <t>potato crop this year, and decides to impose a 1 shilling / pound</t>
  </si>
  <si>
    <t>tax on potatoes in order to lessen demand for them.</t>
  </si>
  <si>
    <t>resolve the problem. (Solver will remember the problem setup,</t>
  </si>
  <si>
    <t>so all you need do is select Tools, Solver, Solve.)</t>
  </si>
  <si>
    <t>Whoa! With the increase in price, demand for potatoes went UP!</t>
  </si>
  <si>
    <t>(Potatoes are known in economics as a "Giffen good". Steak and</t>
  </si>
  <si>
    <t>good can increase demand for it.)</t>
  </si>
  <si>
    <t>No wonder the Irish rebelled.</t>
  </si>
  <si>
    <t>spend on food each week, and requires 20 pounds of food total</t>
  </si>
  <si>
    <t>potatoes costs only 2 shillings. The family has 72 shillings to</t>
  </si>
  <si>
    <t>is to buy 8 pounds of steak and 12 pounds of potatoes.</t>
  </si>
  <si>
    <t>Cash Management</t>
  </si>
  <si>
    <t>(a)</t>
  </si>
  <si>
    <t>How large should each transfer be?</t>
  </si>
  <si>
    <t>(b)</t>
  </si>
  <si>
    <t>(c)</t>
  </si>
  <si>
    <t>(The total annual cost associated with this policy is $10,500.)</t>
  </si>
  <si>
    <t>(d)</t>
  </si>
  <si>
    <t>The bank which maintains the firm's accounts offers to let the firm</t>
  </si>
  <si>
    <t>run a negative checking-account balance, but will charge 12% on</t>
  </si>
  <si>
    <t>the average balance outstanding.  Assume that the firm transfers</t>
  </si>
  <si>
    <t>When the balance is positive, how large, on average, is it?  What</t>
  </si>
  <si>
    <t>fraction of the year is the balance positive? How much interest is</t>
  </si>
  <si>
    <t>lost, per year, on positive balances?</t>
  </si>
  <si>
    <t xml:space="preserve">When the balance is negative, how large, on average, is it? </t>
  </si>
  <si>
    <t>What fraction of the year is the balance negative?  How much</t>
  </si>
  <si>
    <t>interest does the firm pay, per year, on negative balances?  How</t>
  </si>
  <si>
    <t>By how much should the firm overdraw its account before making</t>
  </si>
  <si>
    <t>a transfer, and how large should each transfer be?  (That is, what</t>
  </si>
  <si>
    <t>is an optimal policy?)</t>
  </si>
  <si>
    <t>opportunity cost of capital</t>
  </si>
  <si>
    <t>annual demand for cash</t>
  </si>
  <si>
    <t>transfer amount</t>
  </si>
  <si>
    <t>transfers/year</t>
  </si>
  <si>
    <t>average inactive balance</t>
  </si>
  <si>
    <t>cost per year of managing cash</t>
  </si>
  <si>
    <t>cost/transfer</t>
  </si>
  <si>
    <t>interest on negative balances</t>
  </si>
  <si>
    <t>transfer trigger balance</t>
  </si>
  <si>
    <t>$400,000 whenever its balance drops to -$100,000.</t>
  </si>
  <si>
    <t>fraction of year balance is positive</t>
  </si>
  <si>
    <t>average balance when positive</t>
  </si>
  <si>
    <t>lost interest</t>
  </si>
  <si>
    <t>much interest does it save, per year, by keeping cash in the</t>
  </si>
  <si>
    <t>money-market account?</t>
  </si>
  <si>
    <t>fraction of year balance is negative</t>
  </si>
  <si>
    <t>average balance when negative</t>
  </si>
  <si>
    <t>net interest cost</t>
  </si>
  <si>
    <t>total cost per year</t>
  </si>
  <si>
    <t>checking account.  Transfers are practically instantaneous, and the</t>
  </si>
  <si>
    <t>cost of a transfer is $300 (independent of the size of the transfer).</t>
  </si>
  <si>
    <t>The firm writes about $5 million in checks per year.</t>
  </si>
  <si>
    <t>yield 9%, and makes periodic transfers to a non-interest-bearing</t>
  </si>
  <si>
    <t>A firm keeps its cash reserves in money-market certificates which</t>
  </si>
  <si>
    <t>answer:</t>
  </si>
  <si>
    <t>your price</t>
  </si>
  <si>
    <t>Competitive Pricing and Price-Matching</t>
  </si>
  <si>
    <t>up a production facility to make your own competing version of the product.</t>
  </si>
  <si>
    <t>A competitor's patent on voice-activated door locks is soon to expire. You've already set</t>
  </si>
  <si>
    <t>The competitor is currently charging $95 for a lock. After some market research, you've come</t>
  </si>
  <si>
    <t>competitor's price</t>
  </si>
  <si>
    <t>your per-unit cost of production</t>
  </si>
  <si>
    <t>up with a function (in cell C18 below) which estimates demand for your version, given both your</t>
  </si>
  <si>
    <t>and your competitor's prices.</t>
  </si>
  <si>
    <t>Assuming that your competitor will keep his price fixed during your product introduction, at</t>
  </si>
  <si>
    <t>what price should you introduce your lock?</t>
  </si>
  <si>
    <t>Assuming, instead, that your competitor will immediately price-match your introductory price,</t>
  </si>
  <si>
    <t>at what price should you introduce your product?</t>
  </si>
  <si>
    <t>your monthly demand</t>
  </si>
  <si>
    <t>answers</t>
  </si>
  <si>
    <t>In anticipation of your entry into the market, your competitor decides to offer a deal to consumers:</t>
  </si>
  <si>
    <t>Whatever price you charge, the competitor will undercut you by a fixed dollar amount.</t>
  </si>
  <si>
    <t>Assuming that you respond optimally (after hearing the competitor's commitment) in setting</t>
  </si>
  <si>
    <t>your introductory price, by how much should the competitor commit to underpricing you?</t>
  </si>
  <si>
    <t>(Assume that he faces the same type of demand curve you do, and that his cost of</t>
  </si>
  <si>
    <t>production is the same as yours.)</t>
  </si>
  <si>
    <t>Analysis:  Fleshing out the model -</t>
  </si>
  <si>
    <t>price</t>
  </si>
  <si>
    <t>demand</t>
  </si>
  <si>
    <t>profit</t>
  </si>
  <si>
    <t>unit production cost</t>
  </si>
  <si>
    <t>you</t>
  </si>
  <si>
    <t>competitor</t>
  </si>
  <si>
    <t>To find your optimal price, if he continues to chargs $100:</t>
  </si>
  <si>
    <t>To find your optimal price if he price-matches:</t>
  </si>
  <si>
    <t>If he is going to commit to a fixed underpricing amount, the analysis is a bit</t>
  </si>
  <si>
    <t>more complex - you're both optimizing at the same time. Still, we can examine</t>
  </si>
  <si>
    <t>some examples.</t>
  </si>
  <si>
    <t>If he commits to underpricing us by:</t>
  </si>
  <si>
    <t>and we'll again set a price of $90.</t>
  </si>
  <si>
    <t>his underpricing strategy</t>
  </si>
  <si>
    <t>and he should commit to underpricing us by $8.23 .</t>
  </si>
  <si>
    <t>A little more experimentation shows that, however much he chooses to</t>
  </si>
  <si>
    <t>we'll set a price of $90.</t>
  </si>
  <si>
    <t>underprice us by, we're always going to set our price at $90. (Indeed, the</t>
  </si>
  <si>
    <t>previous problem provides another example, since price-matching is simply</t>
  </si>
  <si>
    <t>"underpricing us by $0.") So, his problem becomes:</t>
  </si>
  <si>
    <t>gain from a $0.01 price increase</t>
  </si>
  <si>
    <t>an optimal price for ourselves, given whatever the other charges - we end up at the</t>
  </si>
  <si>
    <t>(must be 0 at equilibrium, as must the gain</t>
  </si>
  <si>
    <t>from a $0.01 decrease)</t>
  </si>
  <si>
    <t>An Economic Connection</t>
  </si>
  <si>
    <r>
      <t xml:space="preserve">If the market in the previous problem resolves itself competitively - that is, if we </t>
    </r>
    <r>
      <rPr>
        <i/>
        <sz val="10"/>
        <rFont val="Arial"/>
        <family val="2"/>
      </rPr>
      <t>each</t>
    </r>
    <r>
      <rPr>
        <sz val="10"/>
        <rFont val="Arial"/>
      </rPr>
      <t xml:space="preserve"> set</t>
    </r>
  </si>
  <si>
    <t>Notice that, at the competitive price equilibrium, more product is suppied, at lower</t>
  </si>
  <si>
    <t>average prices, than at any of the previous solutions: Consumers benefit from</t>
  </si>
  <si>
    <t>unimpeded competition between the suppliers.</t>
  </si>
  <si>
    <t>Bertrand equilibrium (ref. your economics course).</t>
  </si>
  <si>
    <t>If we increased the number of identical competitors, of course, the equilibrium price</t>
  </si>
  <si>
    <t>would get closer and closer to $60 = the marginal cost of production.</t>
  </si>
  <si>
    <t>potatoes are substitute goods, and raising the price of the cheaper</t>
  </si>
  <si>
    <t>Click here for the Wikipedia article on Giffen goods.</t>
  </si>
  <si>
    <t>For a practical modern example of a Giffen good,</t>
  </si>
  <si>
    <t>imagine raising bus fares in a city: If people prefer</t>
  </si>
  <si>
    <t>traveling by taxi, but some are budget-constrained and</t>
  </si>
  <si>
    <t>currently use a mixture of taxi and bus travel, the fare</t>
  </si>
  <si>
    <t>increase could increase the usage of the city buses!</t>
  </si>
  <si>
    <t>Selecting "Options" brings up:</t>
  </si>
  <si>
    <t>If you select "Load Model," and then highlight one of the "boxes" in the</t>
  </si>
  <si>
    <t>spreadsheet where I've previously "saved" (using the same "Options" screen)</t>
  </si>
  <si>
    <t>a previous Solver setup, you can reload the saved setup and see it in detail</t>
  </si>
  <si>
    <t>(after hitting "OK" a few times).</t>
  </si>
  <si>
    <t>Solver setup</t>
  </si>
  <si>
    <t>Selecting "Tools / Solver" brings up the main Solver dialog box</t>
  </si>
  <si>
    <t>(in Excel 2007, Solver appears at the far right of the "Data" ribbon):</t>
  </si>
  <si>
    <t>`</t>
  </si>
  <si>
    <t>"Save Model" lets you save your own model for documentation purposes.</t>
  </si>
  <si>
    <t>Tools, Solver, set the "target cell" to C17 and tell Solver to</t>
  </si>
  <si>
    <t>maximize it, and list C14, C15  as the changeable cells. Then add</t>
  </si>
  <si>
    <t>two constraints: C19 &lt;= E19, and C20 &gt;= E20. And let's also</t>
  </si>
  <si>
    <t>add constraints to keep C14 &gt;= 0 and C15 &gt;= 0.</t>
  </si>
  <si>
    <t>Raise the price of potatoes in cell F15 to 3 shillings / pound,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</si>
</sst>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_(* #,##0_);_(* \(#,##0\);_(* &quot;-&quot;??_);_(@_)"/>
    <numFmt numFmtId="166" formatCode="&quot;$&quot;#,##0"/>
    <numFmt numFmtId="167" formatCode="&quot;$&quot;#,##0.00"/>
  </numFmts>
  <fonts count="27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color indexed="12"/>
      <name val="Arial"/>
    </font>
    <font>
      <sz val="10"/>
      <color indexed="6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</font>
    <font>
      <b/>
      <sz val="12"/>
      <color indexed="18"/>
      <name val="Arial"/>
      <family val="2"/>
    </font>
    <font>
      <u/>
      <sz val="10"/>
      <color indexed="12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23" fillId="4" borderId="7" applyNumberFormat="0" applyFont="0" applyAlignment="0" applyProtection="0"/>
    <xf numFmtId="0" fontId="24" fillId="16" borderId="8" applyNumberFormat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quotePrefix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164" fontId="0" fillId="0" borderId="0" xfId="0" quotePrefix="1" applyNumberFormat="1" applyAlignment="1">
      <alignment horizontal="left" inden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9" fontId="0" fillId="0" borderId="0" xfId="0" applyNumberFormat="1" applyAlignment="1">
      <alignment horizontal="right"/>
    </xf>
    <xf numFmtId="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6" fontId="4" fillId="0" borderId="0" xfId="0" applyNumberFormat="1" applyFont="1" applyAlignment="1">
      <alignment horizontal="right"/>
    </xf>
    <xf numFmtId="166" fontId="4" fillId="0" borderId="0" xfId="29" applyNumberFormat="1" applyFont="1" applyAlignment="1">
      <alignment horizontal="right"/>
    </xf>
    <xf numFmtId="10" fontId="0" fillId="0" borderId="0" xfId="0" quotePrefix="1" applyNumberFormat="1" applyAlignment="1">
      <alignment horizontal="right"/>
    </xf>
    <xf numFmtId="166" fontId="0" fillId="0" borderId="0" xfId="0" quotePrefix="1" applyNumberFormat="1" applyAlignment="1">
      <alignment horizontal="right"/>
    </xf>
    <xf numFmtId="2" fontId="0" fillId="0" borderId="0" xfId="0" applyNumberFormat="1" applyAlignment="1">
      <alignment horizontal="right"/>
    </xf>
    <xf numFmtId="6" fontId="4" fillId="18" borderId="0" xfId="0" applyNumberFormat="1" applyFont="1" applyFill="1" applyAlignment="1">
      <alignment horizontal="right"/>
    </xf>
    <xf numFmtId="166" fontId="4" fillId="18" borderId="0" xfId="29" applyNumberFormat="1" applyFont="1" applyFill="1" applyAlignment="1">
      <alignment horizontal="right"/>
    </xf>
    <xf numFmtId="8" fontId="0" fillId="0" borderId="0" xfId="0" applyNumberFormat="1"/>
    <xf numFmtId="38" fontId="0" fillId="0" borderId="0" xfId="0" applyNumberFormat="1"/>
    <xf numFmtId="6" fontId="0" fillId="0" borderId="0" xfId="0" applyNumberFormat="1"/>
    <xf numFmtId="0" fontId="6" fillId="0" borderId="0" xfId="0" applyFont="1"/>
    <xf numFmtId="8" fontId="5" fillId="0" borderId="0" xfId="0" applyNumberFormat="1" applyFont="1" applyAlignment="1">
      <alignment horizontal="right"/>
    </xf>
    <xf numFmtId="6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/>
    <xf numFmtId="0" fontId="0" fillId="0" borderId="15" xfId="0" applyBorder="1"/>
    <xf numFmtId="8" fontId="0" fillId="0" borderId="15" xfId="0" applyNumberFormat="1" applyBorder="1"/>
    <xf numFmtId="0" fontId="0" fillId="0" borderId="0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38" fontId="0" fillId="0" borderId="18" xfId="0" applyNumberFormat="1" applyBorder="1" applyAlignment="1">
      <alignment horizontal="center"/>
    </xf>
    <xf numFmtId="38" fontId="0" fillId="0" borderId="19" xfId="0" applyNumberFormat="1" applyBorder="1" applyAlignment="1">
      <alignment horizontal="center"/>
    </xf>
    <xf numFmtId="6" fontId="0" fillId="0" borderId="20" xfId="0" applyNumberFormat="1" applyBorder="1" applyAlignment="1">
      <alignment horizontal="center"/>
    </xf>
    <xf numFmtId="6" fontId="0" fillId="0" borderId="21" xfId="0" applyNumberFormat="1" applyBorder="1" applyAlignment="1">
      <alignment horizontal="center"/>
    </xf>
    <xf numFmtId="167" fontId="3" fillId="0" borderId="17" xfId="0" applyNumberFormat="1" applyFont="1" applyBorder="1" applyAlignment="1">
      <alignment horizontal="center"/>
    </xf>
    <xf numFmtId="167" fontId="3" fillId="0" borderId="16" xfId="0" applyNumberFormat="1" applyFont="1" applyBorder="1" applyAlignment="1">
      <alignment horizontal="center"/>
    </xf>
    <xf numFmtId="167" fontId="2" fillId="0" borderId="17" xfId="0" applyNumberFormat="1" applyFont="1" applyBorder="1" applyAlignment="1">
      <alignment horizontal="center"/>
    </xf>
    <xf numFmtId="8" fontId="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4" fillId="18" borderId="22" xfId="0" applyNumberFormat="1" applyFont="1" applyFill="1" applyBorder="1" applyAlignment="1">
      <alignment horizontal="center"/>
    </xf>
    <xf numFmtId="0" fontId="4" fillId="18" borderId="23" xfId="0" applyNumberFormat="1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6" fontId="0" fillId="19" borderId="0" xfId="0" applyNumberFormat="1" applyFill="1" applyAlignment="1">
      <alignment horizontal="right"/>
    </xf>
    <xf numFmtId="166" fontId="0" fillId="19" borderId="0" xfId="0" quotePrefix="1" applyNumberFormat="1" applyFill="1" applyAlignment="1">
      <alignment horizontal="right"/>
    </xf>
    <xf numFmtId="0" fontId="9" fillId="0" borderId="0" xfId="36" applyAlignment="1" applyProtection="1"/>
    <xf numFmtId="165" fontId="2" fillId="0" borderId="0" xfId="28" applyNumberFormat="1" applyAlignment="1">
      <alignment horizontal="right"/>
    </xf>
    <xf numFmtId="10" fontId="2" fillId="0" borderId="0" xfId="42" applyNumberFormat="1" applyAlignment="1">
      <alignment horizontal="right"/>
    </xf>
    <xf numFmtId="166" fontId="2" fillId="0" borderId="0" xfId="29" applyNumberFormat="1" applyAlignment="1">
      <alignment horizontal="right"/>
    </xf>
    <xf numFmtId="166" fontId="2" fillId="0" borderId="12" xfId="0" applyNumberFormat="1" applyFont="1" applyBorder="1" applyAlignment="1">
      <alignment horizontal="center"/>
    </xf>
    <xf numFmtId="0" fontId="23" fillId="0" borderId="13" xfId="31" applyNumberFormat="1" applyFont="1" applyFill="1" applyBorder="1" applyAlignment="1" applyProtection="1">
      <alignment horizontal="center" readingOrder="1"/>
    </xf>
    <xf numFmtId="0" fontId="23" fillId="0" borderId="14" xfId="31" applyNumberFormat="1" applyFont="1" applyFill="1" applyBorder="1" applyAlignment="1" applyProtection="1">
      <alignment horizontal="center" readingOrder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52</xdr:row>
      <xdr:rowOff>114300</xdr:rowOff>
    </xdr:from>
    <xdr:to>
      <xdr:col>10</xdr:col>
      <xdr:colOff>438150</xdr:colOff>
      <xdr:row>52</xdr:row>
      <xdr:rowOff>114300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5743575" y="8601075"/>
          <a:ext cx="3048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14</xdr:row>
      <xdr:rowOff>133350</xdr:rowOff>
    </xdr:from>
    <xdr:to>
      <xdr:col>8</xdr:col>
      <xdr:colOff>504825</xdr:colOff>
      <xdr:row>18</xdr:row>
      <xdr:rowOff>28575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 flipV="1">
          <a:off x="3867150" y="2447925"/>
          <a:ext cx="876300" cy="552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209550</xdr:colOff>
      <xdr:row>4</xdr:row>
      <xdr:rowOff>95250</xdr:rowOff>
    </xdr:from>
    <xdr:to>
      <xdr:col>17</xdr:col>
      <xdr:colOff>476250</xdr:colOff>
      <xdr:row>20</xdr:row>
      <xdr:rowOff>66675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781050"/>
          <a:ext cx="4533900" cy="2581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295275</xdr:colOff>
      <xdr:row>22</xdr:row>
      <xdr:rowOff>104775</xdr:rowOff>
    </xdr:from>
    <xdr:to>
      <xdr:col>16</xdr:col>
      <xdr:colOff>190500</xdr:colOff>
      <xdr:row>41</xdr:row>
      <xdr:rowOff>28575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724275"/>
          <a:ext cx="3552825" cy="3000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152400</xdr:colOff>
      <xdr:row>18</xdr:row>
      <xdr:rowOff>104775</xdr:rowOff>
    </xdr:from>
    <xdr:to>
      <xdr:col>8</xdr:col>
      <xdr:colOff>542925</xdr:colOff>
      <xdr:row>34</xdr:row>
      <xdr:rowOff>76200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76575"/>
          <a:ext cx="4514850" cy="2562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523875</xdr:colOff>
      <xdr:row>48</xdr:row>
      <xdr:rowOff>133350</xdr:rowOff>
    </xdr:from>
    <xdr:to>
      <xdr:col>18</xdr:col>
      <xdr:colOff>190500</xdr:colOff>
      <xdr:row>64</xdr:row>
      <xdr:rowOff>104775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7962900"/>
          <a:ext cx="4543425" cy="2581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17</xdr:row>
      <xdr:rowOff>123825</xdr:rowOff>
    </xdr:from>
    <xdr:to>
      <xdr:col>14</xdr:col>
      <xdr:colOff>581025</xdr:colOff>
      <xdr:row>33</xdr:row>
      <xdr:rowOff>114300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952750"/>
          <a:ext cx="4562475" cy="2581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46</xdr:row>
      <xdr:rowOff>76200</xdr:rowOff>
    </xdr:from>
    <xdr:to>
      <xdr:col>4</xdr:col>
      <xdr:colOff>857250</xdr:colOff>
      <xdr:row>46</xdr:row>
      <xdr:rowOff>76200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429000" y="762952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133350</xdr:colOff>
      <xdr:row>86</xdr:row>
      <xdr:rowOff>85725</xdr:rowOff>
    </xdr:from>
    <xdr:to>
      <xdr:col>4</xdr:col>
      <xdr:colOff>819150</xdr:colOff>
      <xdr:row>86</xdr:row>
      <xdr:rowOff>85725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3390900" y="1423035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38</xdr:row>
      <xdr:rowOff>76200</xdr:rowOff>
    </xdr:from>
    <xdr:to>
      <xdr:col>4</xdr:col>
      <xdr:colOff>876300</xdr:colOff>
      <xdr:row>38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3448050" y="629602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WW,Web/DS-433/tease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b/My%20Documents/WWW.Web/DECS-433-2004/Exercises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booking 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fraud"/>
      <sheetName val="Dirt"/>
      <sheetName val="Complaints"/>
      <sheetName val="Defective parts"/>
      <sheetName val="Breakdowns"/>
      <sheetName val="Coin flips"/>
      <sheetName val="Baseball"/>
    </sheetNames>
    <sheetDataSet>
      <sheetData sheetId="0" refreshError="1"/>
      <sheetData sheetId="1" refreshError="1"/>
      <sheetData sheetId="2">
        <row r="19">
          <cell r="B19">
            <v>0.1</v>
          </cell>
        </row>
        <row r="21">
          <cell r="B21">
            <v>12</v>
          </cell>
        </row>
        <row r="22">
          <cell r="B22">
            <v>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.wikipedia.org/wiki/Giffen_good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K134"/>
  <sheetViews>
    <sheetView showGridLines="0" workbookViewId="0">
      <selection activeCell="B1" sqref="B1:H1"/>
    </sheetView>
  </sheetViews>
  <sheetFormatPr defaultRowHeight="12.75" x14ac:dyDescent="0.2"/>
  <cols>
    <col min="1" max="1" width="1.7109375" customWidth="1"/>
    <col min="2" max="2" width="3.28515625" bestFit="1" customWidth="1"/>
    <col min="3" max="3" width="10.7109375" style="9" customWidth="1"/>
    <col min="8" max="8" width="11.28515625" customWidth="1"/>
    <col min="10" max="10" width="11.42578125" bestFit="1" customWidth="1"/>
  </cols>
  <sheetData>
    <row r="1" spans="2:11" ht="15.75" x14ac:dyDescent="0.25">
      <c r="B1" s="63" t="s">
        <v>35</v>
      </c>
      <c r="C1" s="63"/>
      <c r="D1" s="63"/>
      <c r="E1" s="63"/>
      <c r="F1" s="63"/>
      <c r="G1" s="63"/>
      <c r="H1" s="63"/>
    </row>
    <row r="3" spans="2:11" x14ac:dyDescent="0.2">
      <c r="C3" s="8" t="s">
        <v>77</v>
      </c>
      <c r="K3" t="s">
        <v>146</v>
      </c>
    </row>
    <row r="4" spans="2:11" x14ac:dyDescent="0.2">
      <c r="C4" s="8" t="s">
        <v>76</v>
      </c>
      <c r="K4" t="s">
        <v>147</v>
      </c>
    </row>
    <row r="5" spans="2:11" x14ac:dyDescent="0.2">
      <c r="C5" s="8" t="s">
        <v>73</v>
      </c>
    </row>
    <row r="6" spans="2:11" x14ac:dyDescent="0.2">
      <c r="C6" s="9" t="s">
        <v>74</v>
      </c>
    </row>
    <row r="7" spans="2:11" x14ac:dyDescent="0.2">
      <c r="C7" s="8" t="s">
        <v>75</v>
      </c>
    </row>
    <row r="9" spans="2:11" x14ac:dyDescent="0.2">
      <c r="B9" t="s">
        <v>36</v>
      </c>
      <c r="C9" s="9" t="s">
        <v>37</v>
      </c>
    </row>
    <row r="11" spans="2:11" x14ac:dyDescent="0.2">
      <c r="C11" s="12">
        <v>0.09</v>
      </c>
      <c r="D11" t="s">
        <v>54</v>
      </c>
    </row>
    <row r="12" spans="2:11" ht="13.5" thickBot="1" x14ac:dyDescent="0.25">
      <c r="C12" s="13">
        <v>5000000</v>
      </c>
      <c r="D12" t="s">
        <v>55</v>
      </c>
      <c r="J12" s="1" t="s">
        <v>145</v>
      </c>
    </row>
    <row r="13" spans="2:11" x14ac:dyDescent="0.2">
      <c r="C13" s="14"/>
      <c r="J13" s="27">
        <f>MIN($C$18)</f>
        <v>32250</v>
      </c>
    </row>
    <row r="14" spans="2:11" x14ac:dyDescent="0.2">
      <c r="C14" s="20">
        <v>50000</v>
      </c>
      <c r="D14" t="s">
        <v>56</v>
      </c>
      <c r="G14" t="s">
        <v>78</v>
      </c>
      <c r="H14" s="15">
        <v>182574.18583883828</v>
      </c>
      <c r="J14" s="28">
        <f>COUNT($C$14)</f>
        <v>1</v>
      </c>
    </row>
    <row r="15" spans="2:11" x14ac:dyDescent="0.2">
      <c r="C15" s="57">
        <f>C12/C14</f>
        <v>100</v>
      </c>
      <c r="D15" t="s">
        <v>57</v>
      </c>
      <c r="J15" s="28" t="b">
        <f>$C$14&gt;=0</f>
        <v>1</v>
      </c>
    </row>
    <row r="16" spans="2:11" ht="13.5" thickBot="1" x14ac:dyDescent="0.25">
      <c r="C16" s="13">
        <v>300</v>
      </c>
      <c r="D16" t="s">
        <v>60</v>
      </c>
      <c r="J16" s="29">
        <f>{100,100,0.000001,0.05,FALSE,FALSE,FALSE,1,1,1,0.0001,FALSE}</f>
        <v>100</v>
      </c>
    </row>
    <row r="17" spans="3:11" x14ac:dyDescent="0.2">
      <c r="C17" s="13">
        <f>C14/2</f>
        <v>25000</v>
      </c>
      <c r="D17" t="s">
        <v>58</v>
      </c>
    </row>
    <row r="18" spans="3:11" x14ac:dyDescent="0.2">
      <c r="C18" s="54">
        <f>C16*C15+C17*C11</f>
        <v>32250</v>
      </c>
      <c r="D18" t="s">
        <v>59</v>
      </c>
    </row>
    <row r="22" spans="3:11" x14ac:dyDescent="0.2">
      <c r="K22" t="s">
        <v>140</v>
      </c>
    </row>
    <row r="36" spans="2:11" x14ac:dyDescent="0.2">
      <c r="C36" s="9" t="s">
        <v>42</v>
      </c>
    </row>
    <row r="37" spans="2:11" x14ac:dyDescent="0.2">
      <c r="C37" s="9" t="s">
        <v>43</v>
      </c>
    </row>
    <row r="38" spans="2:11" x14ac:dyDescent="0.2">
      <c r="C38" s="9" t="s">
        <v>44</v>
      </c>
    </row>
    <row r="39" spans="2:11" x14ac:dyDescent="0.2">
      <c r="C39" s="8" t="s">
        <v>63</v>
      </c>
    </row>
    <row r="41" spans="2:11" x14ac:dyDescent="0.2">
      <c r="C41" s="9" t="s">
        <v>40</v>
      </c>
    </row>
    <row r="42" spans="2:11" x14ac:dyDescent="0.2">
      <c r="C42" s="8"/>
    </row>
    <row r="43" spans="2:11" x14ac:dyDescent="0.2">
      <c r="B43" t="s">
        <v>38</v>
      </c>
      <c r="C43" s="9" t="s">
        <v>45</v>
      </c>
      <c r="K43" t="s">
        <v>141</v>
      </c>
    </row>
    <row r="44" spans="2:11" x14ac:dyDescent="0.2">
      <c r="C44" s="9" t="s">
        <v>46</v>
      </c>
      <c r="K44" t="s">
        <v>142</v>
      </c>
    </row>
    <row r="45" spans="2:11" x14ac:dyDescent="0.2">
      <c r="C45" s="9" t="s">
        <v>47</v>
      </c>
      <c r="K45" t="s">
        <v>143</v>
      </c>
    </row>
    <row r="46" spans="2:11" x14ac:dyDescent="0.2">
      <c r="K46" t="s">
        <v>144</v>
      </c>
    </row>
    <row r="47" spans="2:11" x14ac:dyDescent="0.2">
      <c r="C47" s="12">
        <v>0.12</v>
      </c>
      <c r="D47" t="s">
        <v>61</v>
      </c>
      <c r="J47" t="s">
        <v>148</v>
      </c>
    </row>
    <row r="48" spans="2:11" x14ac:dyDescent="0.2">
      <c r="C48" s="21">
        <v>400000</v>
      </c>
      <c r="D48" t="s">
        <v>56</v>
      </c>
      <c r="G48" t="s">
        <v>78</v>
      </c>
      <c r="H48" s="16">
        <v>365148.35530863842</v>
      </c>
      <c r="K48" t="s">
        <v>149</v>
      </c>
    </row>
    <row r="49" spans="2:10" x14ac:dyDescent="0.2">
      <c r="C49" s="21">
        <v>-100000</v>
      </c>
      <c r="D49" t="s">
        <v>62</v>
      </c>
      <c r="H49" s="16">
        <v>-273861.26272686239</v>
      </c>
    </row>
    <row r="50" spans="2:10" x14ac:dyDescent="0.2">
      <c r="C50" s="14"/>
    </row>
    <row r="51" spans="2:10" ht="13.5" thickBot="1" x14ac:dyDescent="0.25">
      <c r="C51" s="58">
        <f>(C48+C49)/C48</f>
        <v>0.75</v>
      </c>
      <c r="D51" t="s">
        <v>64</v>
      </c>
      <c r="J51" t="s">
        <v>145</v>
      </c>
    </row>
    <row r="52" spans="2:10" x14ac:dyDescent="0.2">
      <c r="C52" s="59">
        <f>(C48+C49)/2</f>
        <v>150000</v>
      </c>
      <c r="D52" t="s">
        <v>65</v>
      </c>
      <c r="J52" s="60">
        <f>MIN($C$70)</f>
        <v>14250</v>
      </c>
    </row>
    <row r="53" spans="2:10" x14ac:dyDescent="0.2">
      <c r="C53" s="59">
        <f>C11*C52*C51</f>
        <v>10125</v>
      </c>
      <c r="D53" t="s">
        <v>66</v>
      </c>
      <c r="J53" s="61">
        <f>COUNT($C$48:$C$49)</f>
        <v>2</v>
      </c>
    </row>
    <row r="54" spans="2:10" x14ac:dyDescent="0.2">
      <c r="J54" s="61" t="b">
        <f>$C$48&gt;=0</f>
        <v>1</v>
      </c>
    </row>
    <row r="55" spans="2:10" x14ac:dyDescent="0.2">
      <c r="B55" t="s">
        <v>39</v>
      </c>
      <c r="C55" s="9" t="s">
        <v>48</v>
      </c>
      <c r="J55" s="61" t="b">
        <f>$C$49&lt;=0</f>
        <v>1</v>
      </c>
    </row>
    <row r="56" spans="2:10" ht="13.5" thickBot="1" x14ac:dyDescent="0.25">
      <c r="C56" s="9" t="s">
        <v>49</v>
      </c>
      <c r="J56" s="62">
        <f>{100,100,0.000001,0.05,FALSE,FALSE,FALSE,1,1,1,0.001,FALSE}</f>
        <v>100</v>
      </c>
    </row>
    <row r="57" spans="2:10" x14ac:dyDescent="0.2">
      <c r="C57" s="9" t="s">
        <v>50</v>
      </c>
      <c r="J57" s="16"/>
    </row>
    <row r="58" spans="2:10" x14ac:dyDescent="0.2">
      <c r="C58" s="8" t="s">
        <v>67</v>
      </c>
    </row>
    <row r="59" spans="2:10" x14ac:dyDescent="0.2">
      <c r="C59" s="8" t="s">
        <v>68</v>
      </c>
    </row>
    <row r="60" spans="2:10" x14ac:dyDescent="0.2">
      <c r="C60" s="8"/>
    </row>
    <row r="61" spans="2:10" x14ac:dyDescent="0.2">
      <c r="C61" s="17">
        <f>1-C51</f>
        <v>0.25</v>
      </c>
      <c r="D61" t="s">
        <v>69</v>
      </c>
    </row>
    <row r="62" spans="2:10" x14ac:dyDescent="0.2">
      <c r="C62" s="18">
        <f>C49/2</f>
        <v>-50000</v>
      </c>
      <c r="D62" t="s">
        <v>70</v>
      </c>
    </row>
    <row r="63" spans="2:10" x14ac:dyDescent="0.2">
      <c r="C63" s="18">
        <f>-(C47-C11)*C62*C61</f>
        <v>375</v>
      </c>
      <c r="D63" t="s">
        <v>71</v>
      </c>
    </row>
    <row r="65" spans="2:4" x14ac:dyDescent="0.2">
      <c r="B65" t="s">
        <v>41</v>
      </c>
      <c r="C65" s="9" t="s">
        <v>51</v>
      </c>
    </row>
    <row r="66" spans="2:4" x14ac:dyDescent="0.2">
      <c r="C66" s="9" t="s">
        <v>52</v>
      </c>
    </row>
    <row r="67" spans="2:4" x14ac:dyDescent="0.2">
      <c r="C67" s="9" t="s">
        <v>53</v>
      </c>
    </row>
    <row r="69" spans="2:4" x14ac:dyDescent="0.2">
      <c r="C69" s="19">
        <f>C12/C48</f>
        <v>12.5</v>
      </c>
      <c r="D69" t="s">
        <v>57</v>
      </c>
    </row>
    <row r="70" spans="2:4" x14ac:dyDescent="0.2">
      <c r="C70" s="55">
        <f>C69*C16+C53+C63</f>
        <v>14250</v>
      </c>
      <c r="D70" t="s">
        <v>72</v>
      </c>
    </row>
    <row r="134" spans="6:6" x14ac:dyDescent="0.2">
      <c r="F134">
        <v>1</v>
      </c>
    </row>
  </sheetData>
  <mergeCells count="1">
    <mergeCell ref="B1:H1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J46"/>
  <sheetViews>
    <sheetView showGridLines="0" tabSelected="1" workbookViewId="0">
      <selection activeCell="B1" sqref="B1:G1"/>
    </sheetView>
  </sheetViews>
  <sheetFormatPr defaultRowHeight="12.75" x14ac:dyDescent="0.2"/>
  <cols>
    <col min="1" max="1" width="1.7109375" customWidth="1"/>
    <col min="2" max="2" width="11.28515625" style="5" customWidth="1"/>
  </cols>
  <sheetData>
    <row r="1" spans="2:10" ht="15.75" x14ac:dyDescent="0.25">
      <c r="B1" s="63" t="s">
        <v>0</v>
      </c>
      <c r="C1" s="63"/>
      <c r="D1" s="63"/>
      <c r="E1" s="63"/>
      <c r="F1" s="63"/>
      <c r="G1" s="63"/>
    </row>
    <row r="2" spans="2:10" x14ac:dyDescent="0.2">
      <c r="B2" s="64" t="s">
        <v>1</v>
      </c>
      <c r="C2" s="64"/>
      <c r="D2" s="64"/>
      <c r="E2" s="64"/>
      <c r="F2" s="64"/>
      <c r="G2" s="64"/>
    </row>
    <row r="3" spans="2:10" x14ac:dyDescent="0.2">
      <c r="B3" s="6"/>
    </row>
    <row r="4" spans="2:10" x14ac:dyDescent="0.2">
      <c r="B4" s="7" t="s">
        <v>2</v>
      </c>
    </row>
    <row r="5" spans="2:10" x14ac:dyDescent="0.2">
      <c r="B5" s="7" t="s">
        <v>3</v>
      </c>
    </row>
    <row r="6" spans="2:10" x14ac:dyDescent="0.2">
      <c r="B6" s="7" t="s">
        <v>33</v>
      </c>
    </row>
    <row r="7" spans="2:10" x14ac:dyDescent="0.2">
      <c r="B7" s="7" t="s">
        <v>32</v>
      </c>
    </row>
    <row r="8" spans="2:10" x14ac:dyDescent="0.2">
      <c r="B8" s="7" t="s">
        <v>4</v>
      </c>
    </row>
    <row r="9" spans="2:10" x14ac:dyDescent="0.2">
      <c r="B9" s="6" t="s">
        <v>5</v>
      </c>
    </row>
    <row r="10" spans="2:10" x14ac:dyDescent="0.2">
      <c r="B10" s="6" t="s">
        <v>6</v>
      </c>
    </row>
    <row r="11" spans="2:10" ht="13.5" thickBot="1" x14ac:dyDescent="0.25">
      <c r="B11" s="6"/>
      <c r="J11" s="1" t="s">
        <v>145</v>
      </c>
    </row>
    <row r="12" spans="2:10" x14ac:dyDescent="0.2">
      <c r="B12" s="6" t="s">
        <v>7</v>
      </c>
      <c r="J12" s="49">
        <f>MAX($C$17)</f>
        <v>6</v>
      </c>
    </row>
    <row r="13" spans="2:10" ht="13.5" thickBot="1" x14ac:dyDescent="0.25">
      <c r="B13" s="6"/>
      <c r="J13" s="28">
        <f>COUNT($C$14,$C$15)</f>
        <v>2</v>
      </c>
    </row>
    <row r="14" spans="2:10" x14ac:dyDescent="0.2">
      <c r="B14" s="6" t="s">
        <v>8</v>
      </c>
      <c r="C14" s="51">
        <v>6</v>
      </c>
      <c r="D14" s="2" t="s">
        <v>9</v>
      </c>
      <c r="F14" s="10">
        <v>6</v>
      </c>
      <c r="G14" t="s">
        <v>10</v>
      </c>
      <c r="J14" s="28" t="b">
        <f>$C$19&lt;=Potatoes!$E$19</f>
        <v>1</v>
      </c>
    </row>
    <row r="15" spans="2:10" ht="13.5" thickBot="1" x14ac:dyDescent="0.25">
      <c r="B15" s="6" t="s">
        <v>11</v>
      </c>
      <c r="C15" s="52">
        <v>14</v>
      </c>
      <c r="D15" s="3" t="s">
        <v>12</v>
      </c>
      <c r="F15" s="10">
        <v>2</v>
      </c>
      <c r="G15" t="s">
        <v>13</v>
      </c>
      <c r="J15" s="28" t="b">
        <f>$C$20&gt;=Potatoes!$E$20</f>
        <v>1</v>
      </c>
    </row>
    <row r="16" spans="2:10" x14ac:dyDescent="0.2">
      <c r="B16" s="6"/>
      <c r="C16" s="1"/>
      <c r="J16" s="28" t="b">
        <f t="array" ref="J16">$C$14:$C$15&gt;=0</f>
        <v>1</v>
      </c>
    </row>
    <row r="17" spans="2:10" ht="13.5" thickBot="1" x14ac:dyDescent="0.25">
      <c r="B17" s="6" t="s">
        <v>14</v>
      </c>
      <c r="C17" s="53">
        <f>C14</f>
        <v>6</v>
      </c>
      <c r="D17" t="s">
        <v>15</v>
      </c>
      <c r="J17" s="29">
        <f>{100,100,0.000001,0.05,TRUE,FALSE,FALSE,1,1,1,0.001,FALSE}</f>
        <v>100</v>
      </c>
    </row>
    <row r="18" spans="2:10" x14ac:dyDescent="0.2">
      <c r="B18" s="6"/>
    </row>
    <row r="19" spans="2:10" x14ac:dyDescent="0.2">
      <c r="B19" s="6" t="s">
        <v>16</v>
      </c>
      <c r="C19" s="1">
        <f>s.price*C14+p.price*C15</f>
        <v>64</v>
      </c>
      <c r="D19" s="1" t="s">
        <v>17</v>
      </c>
      <c r="E19" s="11">
        <v>72</v>
      </c>
      <c r="F19" t="s">
        <v>18</v>
      </c>
    </row>
    <row r="20" spans="2:10" x14ac:dyDescent="0.2">
      <c r="B20" s="6"/>
      <c r="C20" s="1">
        <f>SUM(C14:C15)</f>
        <v>20</v>
      </c>
      <c r="D20" s="1" t="s">
        <v>19</v>
      </c>
      <c r="E20" s="11">
        <v>20</v>
      </c>
      <c r="F20" t="s">
        <v>20</v>
      </c>
    </row>
    <row r="21" spans="2:10" x14ac:dyDescent="0.2">
      <c r="B21" s="6"/>
    </row>
    <row r="22" spans="2:10" x14ac:dyDescent="0.2">
      <c r="B22" s="6" t="s">
        <v>21</v>
      </c>
    </row>
    <row r="23" spans="2:10" x14ac:dyDescent="0.2">
      <c r="B23" s="7" t="s">
        <v>150</v>
      </c>
    </row>
    <row r="24" spans="2:10" x14ac:dyDescent="0.2">
      <c r="B24" s="7" t="s">
        <v>151</v>
      </c>
    </row>
    <row r="25" spans="2:10" x14ac:dyDescent="0.2">
      <c r="B25" s="4" t="s">
        <v>152</v>
      </c>
    </row>
    <row r="26" spans="2:10" x14ac:dyDescent="0.2">
      <c r="B26" s="4" t="s">
        <v>153</v>
      </c>
    </row>
    <row r="28" spans="2:10" x14ac:dyDescent="0.2">
      <c r="B28" s="5" t="s">
        <v>22</v>
      </c>
    </row>
    <row r="29" spans="2:10" x14ac:dyDescent="0.2">
      <c r="B29" s="4" t="s">
        <v>34</v>
      </c>
    </row>
    <row r="30" spans="2:10" x14ac:dyDescent="0.2">
      <c r="B30" s="4"/>
    </row>
    <row r="31" spans="2:10" x14ac:dyDescent="0.2">
      <c r="B31" s="5" t="s">
        <v>23</v>
      </c>
    </row>
    <row r="32" spans="2:10" x14ac:dyDescent="0.2">
      <c r="B32" s="5" t="s">
        <v>24</v>
      </c>
    </row>
    <row r="33" spans="2:9" x14ac:dyDescent="0.2">
      <c r="B33" s="4" t="s">
        <v>25</v>
      </c>
    </row>
    <row r="35" spans="2:9" x14ac:dyDescent="0.2">
      <c r="B35" s="4" t="s">
        <v>154</v>
      </c>
    </row>
    <row r="36" spans="2:9" x14ac:dyDescent="0.2">
      <c r="B36" s="5" t="s">
        <v>26</v>
      </c>
    </row>
    <row r="37" spans="2:9" x14ac:dyDescent="0.2">
      <c r="B37" s="5" t="s">
        <v>27</v>
      </c>
    </row>
    <row r="39" spans="2:9" x14ac:dyDescent="0.2">
      <c r="B39" s="5" t="s">
        <v>28</v>
      </c>
    </row>
    <row r="40" spans="2:9" x14ac:dyDescent="0.2">
      <c r="B40" s="5" t="s">
        <v>29</v>
      </c>
      <c r="I40" s="56" t="s">
        <v>134</v>
      </c>
    </row>
    <row r="41" spans="2:9" x14ac:dyDescent="0.2">
      <c r="B41" s="4" t="s">
        <v>133</v>
      </c>
    </row>
    <row r="42" spans="2:9" x14ac:dyDescent="0.2">
      <c r="B42" s="5" t="s">
        <v>30</v>
      </c>
      <c r="I42" t="s">
        <v>135</v>
      </c>
    </row>
    <row r="43" spans="2:9" x14ac:dyDescent="0.2">
      <c r="I43" t="s">
        <v>136</v>
      </c>
    </row>
    <row r="44" spans="2:9" x14ac:dyDescent="0.2">
      <c r="B44" s="5" t="s">
        <v>31</v>
      </c>
      <c r="I44" t="s">
        <v>137</v>
      </c>
    </row>
    <row r="45" spans="2:9" x14ac:dyDescent="0.2">
      <c r="I45" t="s">
        <v>138</v>
      </c>
    </row>
    <row r="46" spans="2:9" x14ac:dyDescent="0.2">
      <c r="I46" t="s">
        <v>139</v>
      </c>
    </row>
  </sheetData>
  <mergeCells count="2">
    <mergeCell ref="B1:G1"/>
    <mergeCell ref="B2:G2"/>
  </mergeCells>
  <phoneticPr fontId="0" type="noConversion"/>
  <hyperlinks>
    <hyperlink ref="I40" r:id="rId1"/>
  </hyperlinks>
  <pageMargins left="0.75" right="0.75" top="1" bottom="1" header="0.5" footer="0.5"/>
  <pageSetup orientation="portrait" r:id="rId2"/>
  <headerFooter alignWithMargins="0">
    <oddHeader>&amp;A</oddHeader>
    <oddFooter>Page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88"/>
  <sheetViews>
    <sheetView showGridLines="0" topLeftCell="A61" workbookViewId="0">
      <selection activeCell="B1" sqref="B1:F1"/>
    </sheetView>
  </sheetViews>
  <sheetFormatPr defaultRowHeight="12.75" x14ac:dyDescent="0.2"/>
  <cols>
    <col min="1" max="1" width="1.7109375" customWidth="1"/>
    <col min="2" max="10" width="15.7109375" customWidth="1"/>
  </cols>
  <sheetData>
    <row r="1" spans="2:7" ht="15.75" x14ac:dyDescent="0.25">
      <c r="B1" s="63" t="s">
        <v>80</v>
      </c>
      <c r="C1" s="63"/>
      <c r="D1" s="63"/>
      <c r="E1" s="63"/>
      <c r="F1" s="63"/>
    </row>
    <row r="3" spans="2:7" x14ac:dyDescent="0.2">
      <c r="B3" t="s">
        <v>82</v>
      </c>
      <c r="D3" s="22"/>
    </row>
    <row r="4" spans="2:7" x14ac:dyDescent="0.2">
      <c r="B4" t="s">
        <v>81</v>
      </c>
      <c r="D4" s="22"/>
    </row>
    <row r="5" spans="2:7" x14ac:dyDescent="0.2">
      <c r="D5" s="23"/>
    </row>
    <row r="6" spans="2:7" x14ac:dyDescent="0.2">
      <c r="B6" t="s">
        <v>83</v>
      </c>
    </row>
    <row r="7" spans="2:7" x14ac:dyDescent="0.2">
      <c r="B7" t="s">
        <v>86</v>
      </c>
      <c r="D7" s="24"/>
    </row>
    <row r="8" spans="2:7" x14ac:dyDescent="0.2">
      <c r="B8" t="s">
        <v>87</v>
      </c>
    </row>
    <row r="9" spans="2:7" x14ac:dyDescent="0.2">
      <c r="G9" s="22"/>
    </row>
    <row r="10" spans="2:7" x14ac:dyDescent="0.2">
      <c r="B10" s="25" t="s">
        <v>88</v>
      </c>
      <c r="G10" s="26" t="s">
        <v>93</v>
      </c>
    </row>
    <row r="11" spans="2:7" x14ac:dyDescent="0.2">
      <c r="B11" s="25" t="s">
        <v>89</v>
      </c>
      <c r="G11" s="22">
        <v>82.011560938163072</v>
      </c>
    </row>
    <row r="12" spans="2:7" x14ac:dyDescent="0.2">
      <c r="B12" s="25"/>
    </row>
    <row r="13" spans="2:7" x14ac:dyDescent="0.2">
      <c r="B13" s="25" t="s">
        <v>90</v>
      </c>
      <c r="G13" s="24"/>
    </row>
    <row r="14" spans="2:7" x14ac:dyDescent="0.2">
      <c r="B14" s="25" t="s">
        <v>91</v>
      </c>
      <c r="G14" s="22">
        <v>90</v>
      </c>
    </row>
    <row r="15" spans="2:7" x14ac:dyDescent="0.2">
      <c r="G15" s="24"/>
    </row>
    <row r="16" spans="2:7" x14ac:dyDescent="0.2">
      <c r="C16" s="22">
        <v>95</v>
      </c>
      <c r="D16" t="s">
        <v>84</v>
      </c>
      <c r="F16" s="22"/>
    </row>
    <row r="17" spans="2:7" x14ac:dyDescent="0.2">
      <c r="C17" s="22">
        <v>100</v>
      </c>
      <c r="D17" t="s">
        <v>79</v>
      </c>
      <c r="F17" s="22"/>
    </row>
    <row r="18" spans="2:7" x14ac:dyDescent="0.2">
      <c r="C18" s="23">
        <f>100000000*(1/C17)*(100+C16-C17)/C17^2</f>
        <v>9500</v>
      </c>
      <c r="D18" t="s">
        <v>92</v>
      </c>
      <c r="F18" s="23"/>
    </row>
    <row r="20" spans="2:7" x14ac:dyDescent="0.2">
      <c r="C20" s="24">
        <v>60</v>
      </c>
      <c r="D20" t="s">
        <v>85</v>
      </c>
      <c r="F20" s="24"/>
    </row>
    <row r="22" spans="2:7" x14ac:dyDescent="0.2">
      <c r="B22" t="s">
        <v>94</v>
      </c>
      <c r="F22" s="22"/>
    </row>
    <row r="23" spans="2:7" x14ac:dyDescent="0.2">
      <c r="B23" t="s">
        <v>95</v>
      </c>
    </row>
    <row r="25" spans="2:7" x14ac:dyDescent="0.2">
      <c r="B25" s="25" t="s">
        <v>96</v>
      </c>
    </row>
    <row r="26" spans="2:7" x14ac:dyDescent="0.2">
      <c r="B26" s="25" t="s">
        <v>97</v>
      </c>
      <c r="G26" s="22">
        <v>8.2260375630953266</v>
      </c>
    </row>
    <row r="27" spans="2:7" x14ac:dyDescent="0.2">
      <c r="B27" t="s">
        <v>98</v>
      </c>
    </row>
    <row r="28" spans="2:7" x14ac:dyDescent="0.2">
      <c r="B28" t="s">
        <v>99</v>
      </c>
    </row>
    <row r="29" spans="2:7" s="30" customFormat="1" x14ac:dyDescent="0.2">
      <c r="C29" s="31"/>
      <c r="F29" s="31"/>
    </row>
    <row r="30" spans="2:7" s="30" customFormat="1" x14ac:dyDescent="0.2">
      <c r="B30" s="32"/>
      <c r="C30" s="33"/>
      <c r="D30" s="32"/>
      <c r="E30" s="32"/>
      <c r="F30" s="33"/>
    </row>
    <row r="31" spans="2:7" x14ac:dyDescent="0.2">
      <c r="B31" s="34" t="s">
        <v>100</v>
      </c>
      <c r="C31" s="23"/>
      <c r="F31" s="23"/>
    </row>
    <row r="32" spans="2:7" ht="13.5" thickBot="1" x14ac:dyDescent="0.25"/>
    <row r="33" spans="2:6" ht="13.5" thickBot="1" x14ac:dyDescent="0.25">
      <c r="C33" s="35" t="s">
        <v>106</v>
      </c>
      <c r="D33" s="36" t="s">
        <v>105</v>
      </c>
      <c r="F33" s="24"/>
    </row>
    <row r="34" spans="2:6" x14ac:dyDescent="0.2">
      <c r="C34" s="37">
        <v>95</v>
      </c>
      <c r="D34" s="44">
        <v>82.011560938163072</v>
      </c>
      <c r="E34" s="5" t="s">
        <v>101</v>
      </c>
    </row>
    <row r="35" spans="2:6" x14ac:dyDescent="0.2">
      <c r="C35" s="38">
        <v>60</v>
      </c>
      <c r="D35" s="39">
        <v>60</v>
      </c>
      <c r="E35" s="5" t="s">
        <v>104</v>
      </c>
      <c r="F35" s="22"/>
    </row>
    <row r="36" spans="2:6" x14ac:dyDescent="0.2">
      <c r="C36" s="40">
        <f>100000000*(1/C34)*(100+D34-C34)/C34^2</f>
        <v>10148.600196899031</v>
      </c>
      <c r="D36" s="41">
        <f>100000000*(1/D34)*(100+C34-D34)/D34^2</f>
        <v>20483.717374557757</v>
      </c>
      <c r="E36" s="5" t="s">
        <v>102</v>
      </c>
    </row>
    <row r="37" spans="2:6" ht="13.5" thickBot="1" x14ac:dyDescent="0.25">
      <c r="C37" s="42">
        <f>C36*(C34-C35)</f>
        <v>355201.0068914661</v>
      </c>
      <c r="D37" s="43">
        <f>D36*(D34-D35)</f>
        <v>450878.59323018778</v>
      </c>
      <c r="E37" s="5" t="s">
        <v>103</v>
      </c>
    </row>
    <row r="38" spans="2:6" x14ac:dyDescent="0.2">
      <c r="F38" s="27">
        <f>MAX($D$37)</f>
        <v>450878.59323018778</v>
      </c>
    </row>
    <row r="39" spans="2:6" x14ac:dyDescent="0.2">
      <c r="B39" t="s">
        <v>107</v>
      </c>
      <c r="F39" s="28">
        <f>COUNT($D$34)</f>
        <v>1</v>
      </c>
    </row>
    <row r="40" spans="2:6" ht="13.5" thickBot="1" x14ac:dyDescent="0.25">
      <c r="F40" s="29">
        <f>{100,100,0.000001,0.05,FALSE,FALSE,FALSE,1,1,1,0.0001,FALSE}</f>
        <v>100</v>
      </c>
    </row>
    <row r="41" spans="2:6" ht="13.5" thickBot="1" x14ac:dyDescent="0.25">
      <c r="C41" s="35" t="s">
        <v>106</v>
      </c>
      <c r="D41" s="36" t="s">
        <v>105</v>
      </c>
    </row>
    <row r="42" spans="2:6" x14ac:dyDescent="0.2">
      <c r="C42" s="45">
        <v>90.000000000701633</v>
      </c>
      <c r="D42" s="44">
        <v>90.000000000701618</v>
      </c>
      <c r="E42" s="5" t="s">
        <v>101</v>
      </c>
    </row>
    <row r="43" spans="2:6" x14ac:dyDescent="0.2">
      <c r="C43" s="38">
        <v>60</v>
      </c>
      <c r="D43" s="39">
        <v>60</v>
      </c>
      <c r="E43" s="5" t="s">
        <v>104</v>
      </c>
    </row>
    <row r="44" spans="2:6" ht="13.5" thickBot="1" x14ac:dyDescent="0.25">
      <c r="C44" s="40">
        <f>100000000*(1/C42)*(100+D42-C42)/C42^2</f>
        <v>13717.421124507709</v>
      </c>
      <c r="D44" s="41">
        <f>100000000*(1/D42)*(100+C42-D42)/D42^2</f>
        <v>13717.42112450772</v>
      </c>
      <c r="E44" s="5" t="s">
        <v>102</v>
      </c>
    </row>
    <row r="45" spans="2:6" ht="13.5" thickBot="1" x14ac:dyDescent="0.25">
      <c r="C45" s="42">
        <f>C44*(C42-C43)</f>
        <v>411522.63374485588</v>
      </c>
      <c r="D45" s="43">
        <f>D44*(D42-D43)</f>
        <v>411522.63374485599</v>
      </c>
      <c r="E45" s="5" t="s">
        <v>103</v>
      </c>
      <c r="F45" s="27">
        <f>MAX($D$45)</f>
        <v>411522.63374485599</v>
      </c>
    </row>
    <row r="46" spans="2:6" x14ac:dyDescent="0.2">
      <c r="F46" s="28">
        <f>COUNT($C$42:$D$42)</f>
        <v>2</v>
      </c>
    </row>
    <row r="47" spans="2:6" x14ac:dyDescent="0.2">
      <c r="B47" t="s">
        <v>108</v>
      </c>
      <c r="F47" s="28" t="b">
        <f>$D$42=Pricing!$C$42</f>
        <v>1</v>
      </c>
    </row>
    <row r="48" spans="2:6" ht="13.5" thickBot="1" x14ac:dyDescent="0.25">
      <c r="F48" s="29">
        <f>{100,100,0.000001,0.05,FALSE,FALSE,FALSE,1,1,1,0.0001,FALSE}</f>
        <v>100</v>
      </c>
    </row>
    <row r="50" spans="2:6" x14ac:dyDescent="0.2">
      <c r="B50" t="s">
        <v>109</v>
      </c>
    </row>
    <row r="51" spans="2:6" x14ac:dyDescent="0.2">
      <c r="B51" t="s">
        <v>110</v>
      </c>
    </row>
    <row r="52" spans="2:6" x14ac:dyDescent="0.2">
      <c r="B52" t="s">
        <v>111</v>
      </c>
    </row>
    <row r="54" spans="2:6" x14ac:dyDescent="0.2">
      <c r="B54" t="s">
        <v>112</v>
      </c>
      <c r="D54" s="48">
        <v>10</v>
      </c>
    </row>
    <row r="55" spans="2:6" ht="13.5" thickBot="1" x14ac:dyDescent="0.25"/>
    <row r="56" spans="2:6" ht="13.5" thickBot="1" x14ac:dyDescent="0.25">
      <c r="C56" s="35" t="s">
        <v>106</v>
      </c>
      <c r="D56" s="36" t="s">
        <v>105</v>
      </c>
    </row>
    <row r="57" spans="2:6" x14ac:dyDescent="0.2">
      <c r="C57" s="37">
        <f>D57-D54</f>
        <v>79.999999736536481</v>
      </c>
      <c r="D57" s="44">
        <v>89.999999736536481</v>
      </c>
      <c r="E57" s="5" t="s">
        <v>101</v>
      </c>
    </row>
    <row r="58" spans="2:6" x14ac:dyDescent="0.2">
      <c r="C58" s="38">
        <v>60</v>
      </c>
      <c r="D58" s="39">
        <v>60</v>
      </c>
      <c r="E58" s="5" t="s">
        <v>104</v>
      </c>
    </row>
    <row r="59" spans="2:6" x14ac:dyDescent="0.2">
      <c r="C59" s="40">
        <f>100000000*(1/C57)*(100+D57-C57)/C57^2</f>
        <v>21484.375212263094</v>
      </c>
      <c r="D59" s="41">
        <f>100000000*(1/D57)*(100+C57-D57)/D57^2</f>
        <v>12345.679120766883</v>
      </c>
      <c r="E59" s="5" t="s">
        <v>102</v>
      </c>
    </row>
    <row r="60" spans="2:6" ht="13.5" thickBot="1" x14ac:dyDescent="0.25">
      <c r="C60" s="42">
        <f>C59*(C57-C58)</f>
        <v>429687.4985849128</v>
      </c>
      <c r="D60" s="43">
        <f>D59*(D57-D58)</f>
        <v>370370.37037037039</v>
      </c>
      <c r="E60" s="5" t="s">
        <v>103</v>
      </c>
    </row>
    <row r="61" spans="2:6" x14ac:dyDescent="0.2">
      <c r="F61" s="27">
        <f>MAX($D$60)</f>
        <v>370370.37037037039</v>
      </c>
    </row>
    <row r="62" spans="2:6" x14ac:dyDescent="0.2">
      <c r="B62" t="s">
        <v>117</v>
      </c>
      <c r="F62" s="28">
        <f>COUNT($D$57)</f>
        <v>1</v>
      </c>
    </row>
    <row r="63" spans="2:6" ht="13.5" thickBot="1" x14ac:dyDescent="0.25">
      <c r="F63" s="29">
        <f>{100,100,0.000001,0.05,FALSE,FALSE,FALSE,1,1,1,0.0001,FALSE}</f>
        <v>100</v>
      </c>
    </row>
    <row r="64" spans="2:6" x14ac:dyDescent="0.2">
      <c r="B64" t="s">
        <v>112</v>
      </c>
      <c r="D64" s="48">
        <v>5</v>
      </c>
    </row>
    <row r="65" spans="2:6" ht="13.5" thickBot="1" x14ac:dyDescent="0.25"/>
    <row r="66" spans="2:6" ht="13.5" thickBot="1" x14ac:dyDescent="0.25">
      <c r="C66" s="35" t="s">
        <v>106</v>
      </c>
      <c r="D66" s="36" t="s">
        <v>105</v>
      </c>
    </row>
    <row r="67" spans="2:6" x14ac:dyDescent="0.2">
      <c r="C67" s="37">
        <f>D67-D64</f>
        <v>84.999999736536481</v>
      </c>
      <c r="D67" s="44">
        <v>89.999999736536481</v>
      </c>
      <c r="E67" s="5" t="s">
        <v>101</v>
      </c>
    </row>
    <row r="68" spans="2:6" x14ac:dyDescent="0.2">
      <c r="C68" s="38">
        <v>60</v>
      </c>
      <c r="D68" s="39">
        <v>60</v>
      </c>
      <c r="E68" s="5" t="s">
        <v>104</v>
      </c>
    </row>
    <row r="69" spans="2:6" x14ac:dyDescent="0.2">
      <c r="C69" s="40">
        <f>100000000*(1/C67)*(100+D67-C67)/C67^2</f>
        <v>17097.49659700628</v>
      </c>
      <c r="D69" s="41">
        <f>100000000*(1/D67)*(100+C67-D67)/D67^2</f>
        <v>13031.55018303171</v>
      </c>
      <c r="E69" s="5" t="s">
        <v>102</v>
      </c>
    </row>
    <row r="70" spans="2:6" ht="13.5" thickBot="1" x14ac:dyDescent="0.25">
      <c r="C70" s="42">
        <f>C69*(C67-C68)</f>
        <v>427437.41042059037</v>
      </c>
      <c r="D70" s="43">
        <f>D69*(D67-D68)</f>
        <v>390946.50205761322</v>
      </c>
      <c r="E70" s="5" t="s">
        <v>103</v>
      </c>
    </row>
    <row r="71" spans="2:6" x14ac:dyDescent="0.2">
      <c r="F71" s="27">
        <f>MAX($D$70)</f>
        <v>390946.50205761322</v>
      </c>
    </row>
    <row r="72" spans="2:6" x14ac:dyDescent="0.2">
      <c r="B72" t="s">
        <v>113</v>
      </c>
      <c r="F72" s="28">
        <f>COUNT($D$67)</f>
        <v>1</v>
      </c>
    </row>
    <row r="73" spans="2:6" ht="13.5" thickBot="1" x14ac:dyDescent="0.25">
      <c r="F73" s="29">
        <f>{100,100,0.000001,0.05,FALSE,FALSE,FALSE,1,1,1,0.0001,FALSE}</f>
        <v>100</v>
      </c>
    </row>
    <row r="74" spans="2:6" x14ac:dyDescent="0.2">
      <c r="B74" t="s">
        <v>116</v>
      </c>
    </row>
    <row r="75" spans="2:6" x14ac:dyDescent="0.2">
      <c r="B75" t="s">
        <v>118</v>
      </c>
    </row>
    <row r="76" spans="2:6" x14ac:dyDescent="0.2">
      <c r="B76" t="s">
        <v>119</v>
      </c>
    </row>
    <row r="77" spans="2:6" x14ac:dyDescent="0.2">
      <c r="B77" t="s">
        <v>120</v>
      </c>
    </row>
    <row r="79" spans="2:6" x14ac:dyDescent="0.2">
      <c r="C79" s="47">
        <v>8.2260380075787936</v>
      </c>
      <c r="D79" t="s">
        <v>114</v>
      </c>
    </row>
    <row r="80" spans="2:6" ht="13.5" thickBot="1" x14ac:dyDescent="0.25"/>
    <row r="81" spans="2:6" ht="13.5" thickBot="1" x14ac:dyDescent="0.25">
      <c r="C81" s="35" t="s">
        <v>106</v>
      </c>
      <c r="D81" s="36" t="s">
        <v>105</v>
      </c>
    </row>
    <row r="82" spans="2:6" x14ac:dyDescent="0.2">
      <c r="C82" s="37">
        <f>D82-C79</f>
        <v>81.773961992421206</v>
      </c>
      <c r="D82" s="46">
        <v>90</v>
      </c>
      <c r="E82" s="5" t="s">
        <v>101</v>
      </c>
    </row>
    <row r="83" spans="2:6" x14ac:dyDescent="0.2">
      <c r="C83" s="38">
        <v>60</v>
      </c>
      <c r="D83" s="39">
        <v>60</v>
      </c>
      <c r="E83" s="5" t="s">
        <v>104</v>
      </c>
    </row>
    <row r="84" spans="2:6" x14ac:dyDescent="0.2">
      <c r="C84" s="40">
        <f>100000000*(1/C82)*(100+D82-C82)/C82^2</f>
        <v>19791.861340622851</v>
      </c>
      <c r="D84" s="41">
        <f>100000000*(1/D82)*(100+C82-D82)/D82^2</f>
        <v>12589.0208494405</v>
      </c>
      <c r="E84" s="5" t="s">
        <v>102</v>
      </c>
    </row>
    <row r="85" spans="2:6" ht="13.5" thickBot="1" x14ac:dyDescent="0.25">
      <c r="C85" s="42">
        <f>C84*(C82-C83)</f>
        <v>430947.23658999259</v>
      </c>
      <c r="D85" s="43">
        <f>D84*(D82-D83)</f>
        <v>377670.62548321497</v>
      </c>
      <c r="E85" s="5" t="s">
        <v>103</v>
      </c>
    </row>
    <row r="86" spans="2:6" x14ac:dyDescent="0.2">
      <c r="F86" s="27">
        <f>MAX($C$85)</f>
        <v>430947.23658999259</v>
      </c>
    </row>
    <row r="87" spans="2:6" x14ac:dyDescent="0.2">
      <c r="B87" t="s">
        <v>115</v>
      </c>
      <c r="F87" s="28">
        <f>COUNT($C$79)</f>
        <v>1</v>
      </c>
    </row>
    <row r="88" spans="2:6" ht="13.5" thickBot="1" x14ac:dyDescent="0.25">
      <c r="F88" s="29">
        <f>{100,100,0.000001,0.05,FALSE,FALSE,FALSE,1,1,1,0.0001,FALSE}</f>
        <v>100</v>
      </c>
    </row>
  </sheetData>
  <mergeCells count="1">
    <mergeCell ref="B1:F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I29"/>
  <sheetViews>
    <sheetView showGridLines="0" workbookViewId="0">
      <selection activeCell="B1" sqref="B1:I1"/>
    </sheetView>
  </sheetViews>
  <sheetFormatPr defaultRowHeight="12.75" x14ac:dyDescent="0.2"/>
  <cols>
    <col min="1" max="1" width="1.7109375" customWidth="1"/>
    <col min="3" max="4" width="9.7109375" customWidth="1"/>
  </cols>
  <sheetData>
    <row r="1" spans="2:9" ht="15.75" x14ac:dyDescent="0.25">
      <c r="B1" s="63" t="s">
        <v>125</v>
      </c>
      <c r="C1" s="63"/>
      <c r="D1" s="63"/>
      <c r="E1" s="63"/>
      <c r="F1" s="63"/>
      <c r="G1" s="63"/>
      <c r="H1" s="63"/>
      <c r="I1" s="63"/>
    </row>
    <row r="3" spans="2:9" x14ac:dyDescent="0.2">
      <c r="B3" t="s">
        <v>126</v>
      </c>
    </row>
    <row r="4" spans="2:9" x14ac:dyDescent="0.2">
      <c r="B4" t="s">
        <v>122</v>
      </c>
    </row>
    <row r="5" spans="2:9" x14ac:dyDescent="0.2">
      <c r="B5" t="s">
        <v>130</v>
      </c>
    </row>
    <row r="7" spans="2:9" x14ac:dyDescent="0.2">
      <c r="B7" t="s">
        <v>127</v>
      </c>
    </row>
    <row r="8" spans="2:9" x14ac:dyDescent="0.2">
      <c r="B8" t="s">
        <v>128</v>
      </c>
    </row>
    <row r="9" spans="2:9" x14ac:dyDescent="0.2">
      <c r="B9" t="s">
        <v>129</v>
      </c>
    </row>
    <row r="11" spans="2:9" x14ac:dyDescent="0.2">
      <c r="B11" t="s">
        <v>131</v>
      </c>
    </row>
    <row r="12" spans="2:9" x14ac:dyDescent="0.2">
      <c r="B12" t="s">
        <v>132</v>
      </c>
    </row>
    <row r="14" spans="2:9" ht="13.5" thickBot="1" x14ac:dyDescent="0.25"/>
    <row r="15" spans="2:9" ht="13.5" thickBot="1" x14ac:dyDescent="0.25">
      <c r="C15" s="35" t="s">
        <v>106</v>
      </c>
      <c r="D15" s="36" t="s">
        <v>105</v>
      </c>
    </row>
    <row r="16" spans="2:9" x14ac:dyDescent="0.2">
      <c r="C16" s="37">
        <f>D16</f>
        <v>81.322173369213502</v>
      </c>
      <c r="D16" s="44">
        <v>81.322173369213502</v>
      </c>
      <c r="E16" s="5" t="s">
        <v>101</v>
      </c>
    </row>
    <row r="17" spans="3:5" x14ac:dyDescent="0.2">
      <c r="C17" s="38">
        <v>60</v>
      </c>
      <c r="D17" s="39">
        <v>60</v>
      </c>
      <c r="E17" s="5" t="s">
        <v>104</v>
      </c>
    </row>
    <row r="18" spans="3:5" x14ac:dyDescent="0.2">
      <c r="C18" s="40">
        <f>100000000*(1/C16)*(100+D16-C16)/C16^2</f>
        <v>18594.010399882791</v>
      </c>
      <c r="D18" s="41">
        <f>100000000*(1/D16)*(100+C16-D16)/D16^2</f>
        <v>18594.010399882791</v>
      </c>
      <c r="E18" s="5" t="s">
        <v>102</v>
      </c>
    </row>
    <row r="19" spans="3:5" ht="13.5" thickBot="1" x14ac:dyDescent="0.25">
      <c r="C19" s="42">
        <f>C18*(C16-C17)</f>
        <v>396464.71337525971</v>
      </c>
      <c r="D19" s="43">
        <f>D18*(D16-D17)</f>
        <v>396464.71337525971</v>
      </c>
      <c r="E19" s="5" t="s">
        <v>103</v>
      </c>
    </row>
    <row r="20" spans="3:5" ht="13.5" thickBot="1" x14ac:dyDescent="0.25"/>
    <row r="21" spans="3:5" ht="13.5" thickBot="1" x14ac:dyDescent="0.25">
      <c r="C21" s="35" t="s">
        <v>106</v>
      </c>
      <c r="D21" s="36" t="s">
        <v>105</v>
      </c>
    </row>
    <row r="22" spans="3:5" x14ac:dyDescent="0.2">
      <c r="C22" s="37">
        <f>C16</f>
        <v>81.322173369213502</v>
      </c>
      <c r="D22" s="46">
        <f>D16+0.01</f>
        <v>81.332173369213507</v>
      </c>
      <c r="E22" s="5" t="s">
        <v>101</v>
      </c>
    </row>
    <row r="23" spans="3:5" x14ac:dyDescent="0.2">
      <c r="C23" s="38">
        <v>60</v>
      </c>
      <c r="D23" s="39">
        <v>60</v>
      </c>
      <c r="E23" s="5" t="s">
        <v>104</v>
      </c>
    </row>
    <row r="24" spans="3:5" x14ac:dyDescent="0.2">
      <c r="C24" s="40">
        <f>100000000*(1/C22)*(100+D22-C22)/C22^2</f>
        <v>18595.869800922781</v>
      </c>
      <c r="D24" s="41">
        <f>100000000*(1/D22)*(100+C22-D22)/D22^2</f>
        <v>18585.293983579475</v>
      </c>
      <c r="E24" s="5" t="s">
        <v>102</v>
      </c>
    </row>
    <row r="25" spans="3:5" ht="13.5" thickBot="1" x14ac:dyDescent="0.25">
      <c r="C25" s="42">
        <f>C24*(C22-C23)</f>
        <v>396504.3598465973</v>
      </c>
      <c r="D25" s="43">
        <f>D24*(D22-D23)</f>
        <v>396464.7133755181</v>
      </c>
      <c r="E25" s="5" t="s">
        <v>103</v>
      </c>
    </row>
    <row r="26" spans="3:5" ht="13.5" thickBot="1" x14ac:dyDescent="0.25"/>
    <row r="27" spans="3:5" x14ac:dyDescent="0.2">
      <c r="C27" s="49" t="b">
        <f>$D$27=0</f>
        <v>0</v>
      </c>
      <c r="D27" s="24">
        <f>D25-D19</f>
        <v>2.5838380679488182E-7</v>
      </c>
      <c r="E27" s="5" t="s">
        <v>121</v>
      </c>
    </row>
    <row r="28" spans="3:5" x14ac:dyDescent="0.2">
      <c r="C28" s="28">
        <f>COUNT($D$16)</f>
        <v>1</v>
      </c>
      <c r="E28" s="50" t="s">
        <v>123</v>
      </c>
    </row>
    <row r="29" spans="3:5" ht="13.5" thickBot="1" x14ac:dyDescent="0.25">
      <c r="C29" s="29">
        <f>{100,100,0.000001,0.05,FALSE,FALSE,FALSE,1,1,1,0.0001,FALSE}</f>
        <v>100</v>
      </c>
      <c r="E29" s="50" t="s">
        <v>124</v>
      </c>
    </row>
  </sheetData>
  <mergeCells count="1">
    <mergeCell ref="B1:I1"/>
  </mergeCells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Cash Management</vt:lpstr>
      <vt:lpstr>Potatoes</vt:lpstr>
      <vt:lpstr>Pricing</vt:lpstr>
      <vt:lpstr>Bertrand</vt:lpstr>
      <vt:lpstr>p.price</vt:lpstr>
      <vt:lpstr>s.price</vt:lpstr>
    </vt:vector>
  </TitlesOfParts>
  <Company>Northwestern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Weber</dc:creator>
  <cp:lastModifiedBy>Bob</cp:lastModifiedBy>
  <dcterms:created xsi:type="dcterms:W3CDTF">1996-07-22T08:31:27Z</dcterms:created>
  <dcterms:modified xsi:type="dcterms:W3CDTF">2014-08-18T02:42:36Z</dcterms:modified>
</cp:coreProperties>
</file>