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7380" windowHeight="4725" tabRatio="893"/>
  </bookViews>
  <sheets>
    <sheet name="IS &amp; BS" sheetId="1" r:id="rId1"/>
    <sheet name="Capital Structure" sheetId="3" r:id="rId2"/>
    <sheet name="Equity Returns 2012" sheetId="10" r:id="rId3"/>
    <sheet name="Term Structure" sheetId="5" r:id="rId4"/>
  </sheets>
  <definedNames>
    <definedName name="_xlnm.Print_Area" localSheetId="1">'Capital Structure'!$A$1:$E$21</definedName>
    <definedName name="_xlnm.Print_Area" localSheetId="2">'Equity Returns 2012'!#REF!</definedName>
    <definedName name="_xlnm.Print_Area" localSheetId="0">'IS &amp; BS'!$A$1:$E$48</definedName>
  </definedNames>
  <calcPr calcId="145621"/>
</workbook>
</file>

<file path=xl/calcChain.xml><?xml version="1.0" encoding="utf-8"?>
<calcChain xmlns="http://schemas.openxmlformats.org/spreadsheetml/2006/main">
  <c r="G8" i="10" l="1"/>
  <c r="D14" i="3" l="1"/>
  <c r="D4" i="3"/>
  <c r="D9" i="3" l="1"/>
  <c r="D16" i="3" l="1"/>
  <c r="D24" i="1"/>
  <c r="D22" i="1"/>
  <c r="D43" i="1" l="1"/>
  <c r="D42" i="1"/>
  <c r="D5" i="3" s="1"/>
  <c r="D36" i="1"/>
  <c r="D30" i="1"/>
  <c r="D7" i="1"/>
  <c r="D5" i="1"/>
  <c r="D9" i="1" s="1"/>
  <c r="D18" i="3" l="1"/>
  <c r="D14" i="1"/>
  <c r="D15" i="1" s="1"/>
  <c r="D6" i="3"/>
  <c r="D17" i="3" s="1"/>
  <c r="K6" i="10"/>
  <c r="G5" i="10"/>
  <c r="D10" i="3" l="1"/>
  <c r="D19" i="3" s="1"/>
  <c r="D21" i="3" s="1"/>
  <c r="D16" i="1"/>
  <c r="D80" i="10"/>
  <c r="D79" i="10"/>
  <c r="D78" i="10"/>
  <c r="C80" i="10"/>
  <c r="C79" i="10"/>
  <c r="C78" i="10"/>
  <c r="E9" i="10" s="1"/>
  <c r="L7" i="10"/>
  <c r="L6" i="10"/>
  <c r="K7" i="10"/>
  <c r="G6" i="10"/>
  <c r="G7" i="10"/>
  <c r="E14" i="10" l="1"/>
  <c r="E15" i="10"/>
  <c r="E10" i="10"/>
  <c r="E11" i="10"/>
  <c r="E12" i="10"/>
  <c r="E5" i="10"/>
  <c r="E13" i="10"/>
  <c r="E6" i="10"/>
  <c r="E7" i="10"/>
  <c r="E8" i="10"/>
  <c r="E16" i="10"/>
  <c r="D40" i="1"/>
  <c r="D45" i="1" s="1"/>
  <c r="D31" i="1"/>
  <c r="D25" i="1"/>
  <c r="D48" i="1" s="1"/>
  <c r="D32" i="1" l="1"/>
  <c r="D11" i="1"/>
  <c r="E76" i="10"/>
  <c r="E5" i="1"/>
  <c r="E7" i="1"/>
  <c r="E24" i="1"/>
  <c r="E25" i="1" s="1"/>
  <c r="E30" i="1"/>
  <c r="E31" i="1" s="1"/>
  <c r="E36" i="1"/>
  <c r="E39" i="1"/>
  <c r="E42" i="1"/>
  <c r="E43" i="1"/>
  <c r="E9" i="1" l="1"/>
  <c r="E40" i="1"/>
  <c r="E48" i="1" s="1"/>
  <c r="E32" i="1"/>
  <c r="E17" i="10"/>
  <c r="E72" i="10"/>
  <c r="E64" i="10"/>
  <c r="E56" i="10"/>
  <c r="E48" i="10"/>
  <c r="E40" i="10"/>
  <c r="E32" i="10"/>
  <c r="E24" i="10"/>
  <c r="E19" i="10"/>
  <c r="E71" i="10"/>
  <c r="E63" i="10"/>
  <c r="E55" i="10"/>
  <c r="E47" i="10"/>
  <c r="E39" i="10"/>
  <c r="E31" i="10"/>
  <c r="E23" i="10"/>
  <c r="E73" i="10"/>
  <c r="E65" i="10"/>
  <c r="E57" i="10"/>
  <c r="E49" i="10"/>
  <c r="E41" i="10"/>
  <c r="E33" i="10"/>
  <c r="E25" i="10"/>
  <c r="E70" i="10"/>
  <c r="E62" i="10"/>
  <c r="E54" i="10"/>
  <c r="E46" i="10"/>
  <c r="E38" i="10"/>
  <c r="E30" i="10"/>
  <c r="E22" i="10"/>
  <c r="E69" i="10"/>
  <c r="E21" i="10"/>
  <c r="E61" i="10"/>
  <c r="E53" i="10"/>
  <c r="E45" i="10"/>
  <c r="E37" i="10"/>
  <c r="E29" i="10"/>
  <c r="E68" i="10"/>
  <c r="E60" i="10"/>
  <c r="E52" i="10"/>
  <c r="E44" i="10"/>
  <c r="E36" i="10"/>
  <c r="E28" i="10"/>
  <c r="E20" i="10"/>
  <c r="E18" i="10"/>
  <c r="E75" i="10"/>
  <c r="E67" i="10"/>
  <c r="E59" i="10"/>
  <c r="E51" i="10"/>
  <c r="E43" i="10"/>
  <c r="E35" i="10"/>
  <c r="E27" i="10"/>
  <c r="E74" i="10"/>
  <c r="E66" i="10"/>
  <c r="E58" i="10"/>
  <c r="E50" i="10"/>
  <c r="E42" i="10"/>
  <c r="E34" i="10"/>
  <c r="E26" i="10"/>
  <c r="E14" i="1" l="1"/>
  <c r="E15" i="1" s="1"/>
  <c r="E11" i="1"/>
  <c r="E79" i="10"/>
  <c r="E78" i="10"/>
  <c r="E80" i="10"/>
  <c r="E45" i="1"/>
  <c r="E16" i="1"/>
</calcChain>
</file>

<file path=xl/sharedStrings.xml><?xml version="1.0" encoding="utf-8"?>
<sst xmlns="http://schemas.openxmlformats.org/spreadsheetml/2006/main" count="79" uniqueCount="78">
  <si>
    <t xml:space="preserve">  Goodwill &amp; other intangible</t>
  </si>
  <si>
    <t xml:space="preserve">  Accrued expenses</t>
  </si>
  <si>
    <t>http://online.wsj.com/mdc/public/page/2_3020-treasury.html</t>
    <phoneticPr fontId="4" type="noConversion"/>
  </si>
  <si>
    <t>Net Sales</t>
  </si>
  <si>
    <t xml:space="preserve">  Cost of sales</t>
  </si>
  <si>
    <t xml:space="preserve">   SGA</t>
  </si>
  <si>
    <t xml:space="preserve">   Taxes</t>
  </si>
  <si>
    <t>Income before Interest &amp; Taxes</t>
  </si>
  <si>
    <t xml:space="preserve">   Taxes (exc interest tax shield)</t>
  </si>
  <si>
    <t>Net Income (exc interest)</t>
  </si>
  <si>
    <t>Income Statement (adjusted to account for interest)</t>
  </si>
  <si>
    <t xml:space="preserve"> </t>
  </si>
  <si>
    <t xml:space="preserve">  Accounts Receivable</t>
  </si>
  <si>
    <t xml:space="preserve">  Inventories</t>
  </si>
  <si>
    <t xml:space="preserve">  Other Current Assets</t>
  </si>
  <si>
    <t>Total Current Assets</t>
  </si>
  <si>
    <t xml:space="preserve">  Property, plant, &amp; equipment</t>
  </si>
  <si>
    <t xml:space="preserve">  Other non-current assets</t>
  </si>
  <si>
    <t>Total Long Term Assets</t>
  </si>
  <si>
    <t>Total Assets</t>
  </si>
  <si>
    <t>Liabilities</t>
  </si>
  <si>
    <t xml:space="preserve">  Notes payable</t>
  </si>
  <si>
    <t xml:space="preserve">  Current maturities of LTD</t>
  </si>
  <si>
    <t xml:space="preserve">  Long term debt</t>
  </si>
  <si>
    <t xml:space="preserve">  Other liabilities</t>
  </si>
  <si>
    <t xml:space="preserve">  Common Stock</t>
  </si>
  <si>
    <t xml:space="preserve">Net Working Capital </t>
  </si>
  <si>
    <t>Source of Capital</t>
  </si>
  <si>
    <t>Debt</t>
  </si>
  <si>
    <t xml:space="preserve">  Short term debt</t>
  </si>
  <si>
    <t xml:space="preserve">  Preferred equity</t>
  </si>
  <si>
    <t>Equity</t>
  </si>
  <si>
    <t xml:space="preserve">  Common Equity</t>
  </si>
  <si>
    <t>Market Value of Assets</t>
  </si>
  <si>
    <t>Debt/Asset</t>
  </si>
  <si>
    <t>Cost of debt</t>
  </si>
  <si>
    <t>Tax Rate</t>
  </si>
  <si>
    <t>Cost of equity</t>
  </si>
  <si>
    <t>Cost of Capital</t>
  </si>
  <si>
    <t>WACC</t>
  </si>
  <si>
    <t>Date</t>
  </si>
  <si>
    <t xml:space="preserve">Market Return </t>
  </si>
  <si>
    <t xml:space="preserve">  Risk Free</t>
  </si>
  <si>
    <t xml:space="preserve">  Equity Beta</t>
  </si>
  <si>
    <t>Income Statement</t>
  </si>
  <si>
    <t xml:space="preserve">  Accounts payable</t>
  </si>
  <si>
    <t>Balance Sheet</t>
  </si>
  <si>
    <t>Equity Beta</t>
  </si>
  <si>
    <t>Current Liabilities</t>
  </si>
  <si>
    <t>Actual</t>
  </si>
  <si>
    <t>Predicted</t>
  </si>
  <si>
    <t xml:space="preserve">   Interest expense</t>
  </si>
  <si>
    <t xml:space="preserve">  Market Price of Risk</t>
  </si>
  <si>
    <t>Assets</t>
  </si>
  <si>
    <t xml:space="preserve">  Total debt</t>
  </si>
  <si>
    <t xml:space="preserve">  Assets of Discont. Ops.</t>
  </si>
  <si>
    <t>Total Liabilities and shareholders' equity</t>
  </si>
  <si>
    <t xml:space="preserve">   Other expenses/income</t>
  </si>
  <si>
    <t>Rate</t>
  </si>
  <si>
    <t>Term Structure of Interest Rates</t>
  </si>
  <si>
    <t>http://online.wsj.com/documents/mktindex.htm?bondyield.htm</t>
  </si>
  <si>
    <t xml:space="preserve">  Cash &amp; Equivalents</t>
  </si>
  <si>
    <t>Min</t>
  </si>
  <si>
    <t>Max</t>
  </si>
  <si>
    <t>Market</t>
  </si>
  <si>
    <t xml:space="preserve">  Other current liabilities </t>
  </si>
  <si>
    <t xml:space="preserve">   R&amp;D</t>
  </si>
  <si>
    <t>Polaris</t>
  </si>
  <si>
    <t>Polaris Return</t>
  </si>
  <si>
    <t>Income before taxes</t>
  </si>
  <si>
    <t>2011-2012</t>
  </si>
  <si>
    <t>2010-2012</t>
  </si>
  <si>
    <t>2008-2012</t>
  </si>
  <si>
    <t>Net Income</t>
  </si>
  <si>
    <t>Govt Bond Maturity</t>
  </si>
  <si>
    <t>Polaris Equity Returns -- 2007-2012</t>
  </si>
  <si>
    <t>Polaris -- 2012</t>
  </si>
  <si>
    <t>Polaris Industries Annual Report -- 2012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</si>
</sst>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0.000%"/>
    <numFmt numFmtId="166" formatCode="0.00000"/>
    <numFmt numFmtId="167" formatCode="#,##0.0_);[Red]\(#,##0.0\)"/>
    <numFmt numFmtId="168" formatCode="0.0_);[Red]\(0.0\)"/>
    <numFmt numFmtId="169" formatCode="_(* #,##0.0_);_(* \(#,##0.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</cellStyleXfs>
  <cellXfs count="63">
    <xf numFmtId="0" fontId="0" fillId="0" borderId="0" xfId="0"/>
    <xf numFmtId="15" fontId="0" fillId="0" borderId="0" xfId="0" applyNumberFormat="1"/>
    <xf numFmtId="9" fontId="0" fillId="0" borderId="0" xfId="4" applyFont="1"/>
    <xf numFmtId="0" fontId="3" fillId="0" borderId="0" xfId="0" applyFont="1"/>
    <xf numFmtId="38" fontId="0" fillId="0" borderId="0" xfId="1" applyNumberFormat="1" applyFont="1"/>
    <xf numFmtId="38" fontId="0" fillId="0" borderId="0" xfId="0" applyNumberFormat="1"/>
    <xf numFmtId="164" fontId="0" fillId="0" borderId="0" xfId="4" applyNumberFormat="1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Fill="1"/>
    <xf numFmtId="10" fontId="0" fillId="0" borderId="0" xfId="5" applyNumberFormat="1" applyFont="1"/>
    <xf numFmtId="10" fontId="0" fillId="0" borderId="0" xfId="0" applyNumberFormat="1"/>
    <xf numFmtId="3" fontId="0" fillId="0" borderId="0" xfId="0" applyNumberFormat="1"/>
    <xf numFmtId="0" fontId="7" fillId="0" borderId="0" xfId="0" applyFont="1"/>
    <xf numFmtId="0" fontId="5" fillId="0" borderId="0" xfId="2" applyAlignment="1" applyProtection="1"/>
    <xf numFmtId="10" fontId="0" fillId="0" borderId="0" xfId="4" applyNumberFormat="1" applyFont="1"/>
    <xf numFmtId="10" fontId="0" fillId="0" borderId="0" xfId="0" applyNumberFormat="1" applyFill="1"/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2" fontId="0" fillId="0" borderId="0" xfId="0" applyNumberFormat="1" applyBorder="1"/>
    <xf numFmtId="49" fontId="0" fillId="0" borderId="0" xfId="0" applyNumberFormat="1" applyFont="1" applyFill="1" applyBorder="1" applyAlignment="1" applyProtection="1">
      <alignment horizontal="center" wrapText="1"/>
    </xf>
    <xf numFmtId="165" fontId="0" fillId="0" borderId="0" xfId="0" applyNumberFormat="1" applyBorder="1"/>
    <xf numFmtId="14" fontId="0" fillId="0" borderId="1" xfId="0" applyNumberFormat="1" applyBorder="1"/>
    <xf numFmtId="166" fontId="0" fillId="0" borderId="0" xfId="0" applyNumberFormat="1"/>
    <xf numFmtId="166" fontId="0" fillId="0" borderId="0" xfId="0" applyNumberFormat="1" applyBorder="1"/>
    <xf numFmtId="167" fontId="0" fillId="0" borderId="0" xfId="0" applyNumberFormat="1"/>
    <xf numFmtId="167" fontId="8" fillId="0" borderId="0" xfId="0" applyNumberFormat="1" applyFont="1" applyAlignment="1">
      <alignment vertical="top"/>
    </xf>
    <xf numFmtId="167" fontId="0" fillId="0" borderId="1" xfId="0" applyNumberFormat="1" applyFill="1" applyBorder="1"/>
    <xf numFmtId="167" fontId="0" fillId="0" borderId="0" xfId="0" applyNumberFormat="1" applyFill="1"/>
    <xf numFmtId="167" fontId="7" fillId="0" borderId="0" xfId="0" applyNumberFormat="1" applyFont="1"/>
    <xf numFmtId="167" fontId="0" fillId="0" borderId="1" xfId="0" applyNumberFormat="1" applyBorder="1"/>
    <xf numFmtId="167" fontId="7" fillId="0" borderId="1" xfId="0" applyNumberFormat="1" applyFont="1" applyFill="1" applyBorder="1"/>
    <xf numFmtId="0" fontId="5" fillId="0" borderId="0" xfId="2" applyFont="1" applyAlignment="1" applyProtection="1"/>
    <xf numFmtId="0" fontId="2" fillId="0" borderId="0" xfId="0" applyFont="1"/>
    <xf numFmtId="166" fontId="2" fillId="0" borderId="0" xfId="0" applyNumberFormat="1" applyFont="1" applyBorder="1"/>
    <xf numFmtId="0" fontId="2" fillId="0" borderId="0" xfId="0" applyFont="1" applyBorder="1"/>
    <xf numFmtId="14" fontId="2" fillId="0" borderId="1" xfId="0" applyNumberFormat="1" applyFont="1" applyBorder="1"/>
    <xf numFmtId="10" fontId="26" fillId="0" borderId="0" xfId="0" applyNumberFormat="1" applyFont="1"/>
    <xf numFmtId="168" fontId="26" fillId="0" borderId="0" xfId="0" applyNumberFormat="1" applyFont="1"/>
    <xf numFmtId="168" fontId="0" fillId="0" borderId="0" xfId="0" applyNumberFormat="1"/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0" xfId="0" applyNumberFormat="1" applyFill="1"/>
    <xf numFmtId="168" fontId="3" fillId="0" borderId="0" xfId="0" applyNumberFormat="1" applyFont="1"/>
    <xf numFmtId="168" fontId="7" fillId="0" borderId="0" xfId="0" applyNumberFormat="1" applyFont="1"/>
    <xf numFmtId="168" fontId="2" fillId="0" borderId="0" xfId="0" applyNumberFormat="1" applyFont="1"/>
    <xf numFmtId="168" fontId="0" fillId="0" borderId="11" xfId="0" applyNumberFormat="1" applyBorder="1"/>
    <xf numFmtId="168" fontId="26" fillId="0" borderId="1" xfId="0" applyNumberFormat="1" applyFont="1" applyBorder="1"/>
    <xf numFmtId="169" fontId="26" fillId="0" borderId="1" xfId="1" applyNumberFormat="1" applyFont="1" applyBorder="1"/>
    <xf numFmtId="167" fontId="0" fillId="0" borderId="0" xfId="0" applyNumberFormat="1" applyBorder="1"/>
    <xf numFmtId="167" fontId="0" fillId="0" borderId="0" xfId="0" applyNumberFormat="1" applyFill="1" applyBorder="1"/>
    <xf numFmtId="14" fontId="0" fillId="0" borderId="0" xfId="0" applyNumberFormat="1" applyBorder="1"/>
    <xf numFmtId="10" fontId="0" fillId="0" borderId="0" xfId="0" applyNumberFormat="1" applyBorder="1"/>
    <xf numFmtId="10" fontId="26" fillId="0" borderId="0" xfId="0" applyNumberFormat="1" applyFont="1" applyBorder="1"/>
    <xf numFmtId="164" fontId="0" fillId="0" borderId="0" xfId="0" applyNumberFormat="1" applyBorder="1"/>
    <xf numFmtId="164" fontId="0" fillId="0" borderId="0" xfId="4" applyNumberFormat="1" applyFont="1" applyBorder="1"/>
    <xf numFmtId="0" fontId="7" fillId="0" borderId="0" xfId="0" applyFont="1" applyBorder="1"/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2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3"/>
    <cellStyle name="Normal 3" xfId="46"/>
    <cellStyle name="Note 2" xfId="47"/>
    <cellStyle name="Output" xfId="15" builtinId="21" customBuiltin="1"/>
    <cellStyle name="Percent" xfId="4" builtinId="5"/>
    <cellStyle name="Percent 2" xfId="5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</c:spPr>
          </c:marker>
          <c:xVal>
            <c:numRef>
              <c:f>'Equity Returns 2012'!$C$5:$C$40</c:f>
              <c:numCache>
                <c:formatCode>0.00000</c:formatCode>
                <c:ptCount val="36"/>
                <c:pt idx="0">
                  <c:v>1.2534E-2</c:v>
                </c:pt>
                <c:pt idx="1">
                  <c:v>6.1910000000000003E-3</c:v>
                </c:pt>
                <c:pt idx="2">
                  <c:v>-1.41E-2</c:v>
                </c:pt>
                <c:pt idx="3">
                  <c:v>2.6539E-2</c:v>
                </c:pt>
                <c:pt idx="4">
                  <c:v>2.6265E-2</c:v>
                </c:pt>
                <c:pt idx="5">
                  <c:v>1.0266000000000001E-2</c:v>
                </c:pt>
                <c:pt idx="6">
                  <c:v>3.8156000000000002E-2</c:v>
                </c:pt>
                <c:pt idx="7">
                  <c:v>-6.5530000000000005E-2</c:v>
                </c:pt>
                <c:pt idx="8">
                  <c:v>-6.8009999999999998E-3</c:v>
                </c:pt>
                <c:pt idx="9">
                  <c:v>2.3993E-2</c:v>
                </c:pt>
                <c:pt idx="10">
                  <c:v>4.1186E-2</c:v>
                </c:pt>
                <c:pt idx="11">
                  <c:v>5.4077E-2</c:v>
                </c:pt>
                <c:pt idx="12">
                  <c:v>3.7009999999999999E-3</c:v>
                </c:pt>
                <c:pt idx="13">
                  <c:v>-6.2249999999999996E-3</c:v>
                </c:pt>
                <c:pt idx="14">
                  <c:v>0.113984</c:v>
                </c:pt>
                <c:pt idx="15">
                  <c:v>-8.4873000000000004E-2</c:v>
                </c:pt>
                <c:pt idx="16">
                  <c:v>-5.7471000000000001E-2</c:v>
                </c:pt>
                <c:pt idx="17">
                  <c:v>-2.247E-2</c:v>
                </c:pt>
                <c:pt idx="18">
                  <c:v>-1.8395000000000002E-2</c:v>
                </c:pt>
                <c:pt idx="19">
                  <c:v>-1.4933E-2</c:v>
                </c:pt>
                <c:pt idx="20">
                  <c:v>2.8688999999999999E-2</c:v>
                </c:pt>
                <c:pt idx="21">
                  <c:v>3.3739999999999998E-3</c:v>
                </c:pt>
                <c:pt idx="22">
                  <c:v>3.8163999999999997E-2</c:v>
                </c:pt>
                <c:pt idx="23">
                  <c:v>1.9157E-2</c:v>
                </c:pt>
                <c:pt idx="24">
                  <c:v>6.7152000000000003E-2</c:v>
                </c:pt>
                <c:pt idx="25">
                  <c:v>5.1650000000000003E-3</c:v>
                </c:pt>
                <c:pt idx="26">
                  <c:v>3.8531999999999997E-2</c:v>
                </c:pt>
                <c:pt idx="27">
                  <c:v>9.1518000000000002E-2</c:v>
                </c:pt>
                <c:pt idx="28">
                  <c:v>-4.2818000000000002E-2</c:v>
                </c:pt>
                <c:pt idx="29">
                  <c:v>7.1554000000000006E-2</c:v>
                </c:pt>
                <c:pt idx="30">
                  <c:v>-5.0721000000000002E-2</c:v>
                </c:pt>
                <c:pt idx="31">
                  <c:v>-7.9141000000000003E-2</c:v>
                </c:pt>
                <c:pt idx="32">
                  <c:v>2.0011000000000001E-2</c:v>
                </c:pt>
                <c:pt idx="33">
                  <c:v>6.3604999999999995E-2</c:v>
                </c:pt>
                <c:pt idx="34">
                  <c:v>3.4775E-2</c:v>
                </c:pt>
                <c:pt idx="35">
                  <c:v>-3.7097999999999999E-2</c:v>
                </c:pt>
              </c:numCache>
            </c:numRef>
          </c:xVal>
          <c:yVal>
            <c:numRef>
              <c:f>'Equity Returns 2012'!$D$5:$D$40</c:f>
              <c:numCache>
                <c:formatCode>0.00000</c:formatCode>
                <c:ptCount val="36"/>
                <c:pt idx="0">
                  <c:v>-7.7819999999999999E-3</c:v>
                </c:pt>
                <c:pt idx="1">
                  <c:v>8.0470000000000003E-3</c:v>
                </c:pt>
                <c:pt idx="2">
                  <c:v>4.4887000000000003E-2</c:v>
                </c:pt>
                <c:pt idx="3">
                  <c:v>7.5541999999999998E-2</c:v>
                </c:pt>
                <c:pt idx="4">
                  <c:v>5.3220000000000003E-3</c:v>
                </c:pt>
                <c:pt idx="5">
                  <c:v>5.1483000000000001E-2</c:v>
                </c:pt>
                <c:pt idx="6">
                  <c:v>-5.9102000000000002E-2</c:v>
                </c:pt>
                <c:pt idx="7">
                  <c:v>-3.9023000000000002E-2</c:v>
                </c:pt>
                <c:pt idx="8">
                  <c:v>0.10104</c:v>
                </c:pt>
                <c:pt idx="9">
                  <c:v>9.2188999999999993E-2</c:v>
                </c:pt>
                <c:pt idx="10">
                  <c:v>3.1522000000000001E-2</c:v>
                </c:pt>
                <c:pt idx="11">
                  <c:v>0.15041099999999999</c:v>
                </c:pt>
                <c:pt idx="12">
                  <c:v>-6.8552000000000002E-2</c:v>
                </c:pt>
                <c:pt idx="13">
                  <c:v>-5.1152999999999997E-2</c:v>
                </c:pt>
                <c:pt idx="14">
                  <c:v>0.272063</c:v>
                </c:pt>
                <c:pt idx="15">
                  <c:v>-9.0380000000000002E-2</c:v>
                </c:pt>
                <c:pt idx="16">
                  <c:v>-7.3218000000000005E-2</c:v>
                </c:pt>
                <c:pt idx="17">
                  <c:v>7.0432999999999996E-2</c:v>
                </c:pt>
                <c:pt idx="18">
                  <c:v>7.4310000000000001E-3</c:v>
                </c:pt>
                <c:pt idx="19">
                  <c:v>4.6665999999999999E-2</c:v>
                </c:pt>
                <c:pt idx="20">
                  <c:v>0.21673200000000001</c:v>
                </c:pt>
                <c:pt idx="21">
                  <c:v>0.15334700000000001</c:v>
                </c:pt>
                <c:pt idx="22">
                  <c:v>-1.9111E-2</c:v>
                </c:pt>
                <c:pt idx="23">
                  <c:v>-8.3309999999999999E-3</c:v>
                </c:pt>
                <c:pt idx="24">
                  <c:v>7.3325000000000001E-2</c:v>
                </c:pt>
                <c:pt idx="25">
                  <c:v>2.2506999999999999E-2</c:v>
                </c:pt>
                <c:pt idx="26">
                  <c:v>9.8156999999999994E-2</c:v>
                </c:pt>
                <c:pt idx="27">
                  <c:v>0.22070100000000001</c:v>
                </c:pt>
                <c:pt idx="28">
                  <c:v>-0.1067</c:v>
                </c:pt>
                <c:pt idx="29">
                  <c:v>0.10033</c:v>
                </c:pt>
                <c:pt idx="30">
                  <c:v>-6.9505999999999998E-2</c:v>
                </c:pt>
                <c:pt idx="31">
                  <c:v>-7.9430000000000004E-3</c:v>
                </c:pt>
                <c:pt idx="32">
                  <c:v>0.164386</c:v>
                </c:pt>
                <c:pt idx="33">
                  <c:v>0.118496</c:v>
                </c:pt>
                <c:pt idx="34">
                  <c:v>3.4608E-2</c:v>
                </c:pt>
                <c:pt idx="35">
                  <c:v>2.2461999999999999E-2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'Equity Returns 2012'!$C$5:$C$40</c:f>
              <c:numCache>
                <c:formatCode>0.00000</c:formatCode>
                <c:ptCount val="36"/>
                <c:pt idx="0">
                  <c:v>1.2534E-2</c:v>
                </c:pt>
                <c:pt idx="1">
                  <c:v>6.1910000000000003E-3</c:v>
                </c:pt>
                <c:pt idx="2">
                  <c:v>-1.41E-2</c:v>
                </c:pt>
                <c:pt idx="3">
                  <c:v>2.6539E-2</c:v>
                </c:pt>
                <c:pt idx="4">
                  <c:v>2.6265E-2</c:v>
                </c:pt>
                <c:pt idx="5">
                  <c:v>1.0266000000000001E-2</c:v>
                </c:pt>
                <c:pt idx="6">
                  <c:v>3.8156000000000002E-2</c:v>
                </c:pt>
                <c:pt idx="7">
                  <c:v>-6.5530000000000005E-2</c:v>
                </c:pt>
                <c:pt idx="8">
                  <c:v>-6.8009999999999998E-3</c:v>
                </c:pt>
                <c:pt idx="9">
                  <c:v>2.3993E-2</c:v>
                </c:pt>
                <c:pt idx="10">
                  <c:v>4.1186E-2</c:v>
                </c:pt>
                <c:pt idx="11">
                  <c:v>5.4077E-2</c:v>
                </c:pt>
                <c:pt idx="12">
                  <c:v>3.7009999999999999E-3</c:v>
                </c:pt>
                <c:pt idx="13">
                  <c:v>-6.2249999999999996E-3</c:v>
                </c:pt>
                <c:pt idx="14">
                  <c:v>0.113984</c:v>
                </c:pt>
                <c:pt idx="15">
                  <c:v>-8.4873000000000004E-2</c:v>
                </c:pt>
                <c:pt idx="16">
                  <c:v>-5.7471000000000001E-2</c:v>
                </c:pt>
                <c:pt idx="17">
                  <c:v>-2.247E-2</c:v>
                </c:pt>
                <c:pt idx="18">
                  <c:v>-1.8395000000000002E-2</c:v>
                </c:pt>
                <c:pt idx="19">
                  <c:v>-1.4933E-2</c:v>
                </c:pt>
                <c:pt idx="20">
                  <c:v>2.8688999999999999E-2</c:v>
                </c:pt>
                <c:pt idx="21">
                  <c:v>3.3739999999999998E-3</c:v>
                </c:pt>
                <c:pt idx="22">
                  <c:v>3.8163999999999997E-2</c:v>
                </c:pt>
                <c:pt idx="23">
                  <c:v>1.9157E-2</c:v>
                </c:pt>
                <c:pt idx="24">
                  <c:v>6.7152000000000003E-2</c:v>
                </c:pt>
                <c:pt idx="25">
                  <c:v>5.1650000000000003E-3</c:v>
                </c:pt>
                <c:pt idx="26">
                  <c:v>3.8531999999999997E-2</c:v>
                </c:pt>
                <c:pt idx="27">
                  <c:v>9.1518000000000002E-2</c:v>
                </c:pt>
                <c:pt idx="28">
                  <c:v>-4.2818000000000002E-2</c:v>
                </c:pt>
                <c:pt idx="29">
                  <c:v>7.1554000000000006E-2</c:v>
                </c:pt>
                <c:pt idx="30">
                  <c:v>-5.0721000000000002E-2</c:v>
                </c:pt>
                <c:pt idx="31">
                  <c:v>-7.9141000000000003E-2</c:v>
                </c:pt>
                <c:pt idx="32">
                  <c:v>2.0011000000000001E-2</c:v>
                </c:pt>
                <c:pt idx="33">
                  <c:v>6.3604999999999995E-2</c:v>
                </c:pt>
                <c:pt idx="34">
                  <c:v>3.4775E-2</c:v>
                </c:pt>
                <c:pt idx="35">
                  <c:v>-3.7097999999999999E-2</c:v>
                </c:pt>
              </c:numCache>
            </c:numRef>
          </c:xVal>
          <c:yVal>
            <c:numRef>
              <c:f>'Equity Returns 2012'!$E$5:$E$40</c:f>
              <c:numCache>
                <c:formatCode>0.00000</c:formatCode>
                <c:ptCount val="36"/>
                <c:pt idx="0">
                  <c:v>3.913938771127505E-2</c:v>
                </c:pt>
                <c:pt idx="1">
                  <c:v>3.0513903155963026E-2</c:v>
                </c:pt>
                <c:pt idx="2">
                  <c:v>2.9213275431873194E-3</c:v>
                </c:pt>
                <c:pt idx="3">
                  <c:v>5.8183989823389973E-2</c:v>
                </c:pt>
                <c:pt idx="4">
                  <c:v>5.7811392823838417E-2</c:v>
                </c:pt>
                <c:pt idx="5">
                  <c:v>3.6055263641994323E-2</c:v>
                </c:pt>
                <c:pt idx="6">
                  <c:v>7.3981286698537346E-2</c:v>
                </c:pt>
                <c:pt idx="7">
                  <c:v>-6.7015401241251826E-2</c:v>
                </c:pt>
                <c:pt idx="8">
                  <c:v>1.2846822067737606E-2</c:v>
                </c:pt>
                <c:pt idx="9">
                  <c:v>5.4721829382301468E-2</c:v>
                </c:pt>
                <c:pt idx="10">
                  <c:v>7.810161118262933E-2</c:v>
                </c:pt>
                <c:pt idx="11">
                  <c:v>9.5631348121385018E-2</c:v>
                </c:pt>
                <c:pt idx="12">
                  <c:v>2.7127893926461696E-2</c:v>
                </c:pt>
                <c:pt idx="13">
                  <c:v>1.3630091672634299E-2</c:v>
                </c:pt>
                <c:pt idx="14">
                  <c:v>0.17709546655983333</c:v>
                </c:pt>
                <c:pt idx="15">
                  <c:v>-9.3318845629301733E-2</c:v>
                </c:pt>
                <c:pt idx="16">
                  <c:v>-5.6056425988018396E-2</c:v>
                </c:pt>
                <c:pt idx="17">
                  <c:v>-8.460558902967763E-3</c:v>
                </c:pt>
                <c:pt idx="18">
                  <c:v>-2.9191984169364658E-3</c:v>
                </c:pt>
                <c:pt idx="19">
                  <c:v>1.7885782708280361E-3</c:v>
                </c:pt>
                <c:pt idx="20">
                  <c:v>6.1107652411112004E-2</c:v>
                </c:pt>
                <c:pt idx="21">
                  <c:v>2.6683225244515135E-2</c:v>
                </c:pt>
                <c:pt idx="22">
                  <c:v>7.399216544304979E-2</c:v>
                </c:pt>
                <c:pt idx="23">
                  <c:v>4.8145628324522974E-2</c:v>
                </c:pt>
                <c:pt idx="24">
                  <c:v>0.11341129618392716</c:v>
                </c:pt>
                <c:pt idx="25">
                  <c:v>2.9118704172240793E-2</c:v>
                </c:pt>
                <c:pt idx="26">
                  <c:v>7.4492587690622683E-2</c:v>
                </c:pt>
                <c:pt idx="27">
                  <c:v>0.14654523228273414</c:v>
                </c:pt>
                <c:pt idx="28">
                  <c:v>-3.6130645570394707E-2</c:v>
                </c:pt>
                <c:pt idx="29">
                  <c:v>0.11939732535190502</c:v>
                </c:pt>
                <c:pt idx="30">
                  <c:v>-4.6877485305635277E-2</c:v>
                </c:pt>
                <c:pt idx="31">
                  <c:v>-8.5524225186128386E-2</c:v>
                </c:pt>
                <c:pt idx="32">
                  <c:v>4.9306934301227442E-2</c:v>
                </c:pt>
                <c:pt idx="33">
                  <c:v>0.10858793283571781</c:v>
                </c:pt>
                <c:pt idx="34">
                  <c:v>6.9383657298961454E-2</c:v>
                </c:pt>
                <c:pt idx="35">
                  <c:v>-2.8352343243990039E-2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94080"/>
        <c:axId val="163695616"/>
      </c:scatterChart>
      <c:valAx>
        <c:axId val="16369408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163695616"/>
        <c:crosses val="autoZero"/>
        <c:crossBetween val="midCat"/>
      </c:valAx>
      <c:valAx>
        <c:axId val="1636956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3694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</c:marker>
          <c:xVal>
            <c:numRef>
              <c:f>'Term Structure'!$B$4:$B$8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</c:numCache>
            </c:numRef>
          </c:xVal>
          <c:yVal>
            <c:numRef>
              <c:f>'Term Structure'!$C$4:$C$8</c:f>
              <c:numCache>
                <c:formatCode>0.00%</c:formatCode>
                <c:ptCount val="5"/>
                <c:pt idx="0">
                  <c:v>1.58E-3</c:v>
                </c:pt>
                <c:pt idx="1">
                  <c:v>3.8400000000000001E-3</c:v>
                </c:pt>
                <c:pt idx="2">
                  <c:v>7.1199999999999996E-3</c:v>
                </c:pt>
                <c:pt idx="3">
                  <c:v>1.409E-2</c:v>
                </c:pt>
                <c:pt idx="4">
                  <c:v>2.4479999999999998E-2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21600"/>
        <c:axId val="163723136"/>
      </c:scatterChart>
      <c:valAx>
        <c:axId val="163721600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crossAx val="163723136"/>
        <c:crosses val="autoZero"/>
        <c:crossBetween val="midCat"/>
        <c:majorUnit val="2"/>
      </c:valAx>
      <c:valAx>
        <c:axId val="163723136"/>
        <c:scaling>
          <c:orientation val="minMax"/>
          <c:max val="6.0000000000000012E-2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3721600"/>
        <c:crosses val="autoZero"/>
        <c:crossBetween val="midCat"/>
      </c:valAx>
      <c:spPr>
        <a:ln w="3175">
          <a:noFill/>
          <a:prstDash val="sysDash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11</xdr:row>
      <xdr:rowOff>100012</xdr:rowOff>
    </xdr:from>
    <xdr:to>
      <xdr:col>14</xdr:col>
      <xdr:colOff>219075</xdr:colOff>
      <xdr:row>28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104776</xdr:rowOff>
    </xdr:from>
    <xdr:to>
      <xdr:col>13</xdr:col>
      <xdr:colOff>257175</xdr:colOff>
      <xdr:row>21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online.wsj.com/documents/mktindex.htm?bondyield.htm" TargetMode="External"/><Relationship Id="rId1" Type="http://schemas.openxmlformats.org/officeDocument/2006/relationships/hyperlink" Target="http://online.wsj.com/mdc/public/page/2_3020-treasur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zoomScaleNormal="100" workbookViewId="0"/>
  </sheetViews>
  <sheetFormatPr defaultColWidth="8.85546875" defaultRowHeight="12.75" x14ac:dyDescent="0.2"/>
  <cols>
    <col min="1" max="1" width="4.42578125" customWidth="1"/>
    <col min="2" max="2" width="5.7109375" customWidth="1"/>
    <col min="3" max="3" width="30.42578125" bestFit="1" customWidth="1"/>
    <col min="4" max="5" width="15.7109375" customWidth="1"/>
    <col min="7" max="8" width="10.7109375" customWidth="1"/>
  </cols>
  <sheetData>
    <row r="1" spans="1:8" ht="15.75" x14ac:dyDescent="0.25">
      <c r="A1" s="11" t="s">
        <v>77</v>
      </c>
    </row>
    <row r="2" spans="1:8" x14ac:dyDescent="0.2">
      <c r="B2" s="3" t="s">
        <v>44</v>
      </c>
      <c r="C2" s="3"/>
      <c r="D2" s="42">
        <v>41274</v>
      </c>
      <c r="E2" s="28">
        <v>40908</v>
      </c>
      <c r="G2" s="1"/>
      <c r="H2" s="1"/>
    </row>
    <row r="3" spans="1:8" x14ac:dyDescent="0.2">
      <c r="C3" s="39" t="s">
        <v>3</v>
      </c>
      <c r="D3" s="44">
        <v>3209.7820000000002</v>
      </c>
      <c r="E3" s="44">
        <v>2656.9490000000001</v>
      </c>
    </row>
    <row r="4" spans="1:8" x14ac:dyDescent="0.2">
      <c r="C4" t="s">
        <v>4</v>
      </c>
      <c r="D4" s="44">
        <v>2284.4850000000001</v>
      </c>
      <c r="E4" s="44">
        <v>1916.366</v>
      </c>
      <c r="G4" s="31"/>
    </row>
    <row r="5" spans="1:8" x14ac:dyDescent="0.2">
      <c r="C5" t="s">
        <v>5</v>
      </c>
      <c r="D5" s="44">
        <f>210.367+143.064</f>
        <v>353.43099999999998</v>
      </c>
      <c r="E5" s="44">
        <f>178.725+130.395</f>
        <v>309.12</v>
      </c>
    </row>
    <row r="6" spans="1:8" x14ac:dyDescent="0.2">
      <c r="C6" s="16" t="s">
        <v>66</v>
      </c>
      <c r="D6" s="44">
        <v>127.361</v>
      </c>
      <c r="E6" s="44">
        <v>105.631</v>
      </c>
      <c r="G6" s="31"/>
    </row>
    <row r="7" spans="1:8" x14ac:dyDescent="0.2">
      <c r="C7" t="s">
        <v>57</v>
      </c>
      <c r="D7" s="44">
        <f>-33.92+0.179-7.529</f>
        <v>-41.269999999999996</v>
      </c>
      <c r="E7" s="44">
        <f>-24.092-0.689</f>
        <v>-24.780999999999999</v>
      </c>
    </row>
    <row r="8" spans="1:8" x14ac:dyDescent="0.2">
      <c r="C8" t="s">
        <v>51</v>
      </c>
      <c r="D8" s="53">
        <v>5.9320000000000004</v>
      </c>
      <c r="E8" s="53">
        <v>3.9870000000000001</v>
      </c>
    </row>
    <row r="9" spans="1:8" x14ac:dyDescent="0.2">
      <c r="C9" s="39" t="s">
        <v>69</v>
      </c>
      <c r="D9" s="45">
        <f>D3-SUM(D4:D8)</f>
        <v>479.8430000000003</v>
      </c>
      <c r="E9" s="31">
        <f>E3-SUM(E4:E8)</f>
        <v>346.6260000000002</v>
      </c>
    </row>
    <row r="10" spans="1:8" s="12" customFormat="1" x14ac:dyDescent="0.2">
      <c r="C10" s="12" t="s">
        <v>6</v>
      </c>
      <c r="D10" s="53">
        <v>167.53299999999999</v>
      </c>
      <c r="E10" s="53">
        <v>119.051</v>
      </c>
      <c r="G10" s="6"/>
      <c r="H10" s="19"/>
    </row>
    <row r="11" spans="1:8" s="12" customFormat="1" x14ac:dyDescent="0.2">
      <c r="C11" s="12" t="s">
        <v>73</v>
      </c>
      <c r="D11" s="48">
        <f>D9-D10</f>
        <v>312.31000000000029</v>
      </c>
      <c r="E11" s="34">
        <f>E9-E10</f>
        <v>227.57500000000022</v>
      </c>
    </row>
    <row r="12" spans="1:8" x14ac:dyDescent="0.2">
      <c r="D12" s="45"/>
      <c r="E12" s="31"/>
    </row>
    <row r="13" spans="1:8" x14ac:dyDescent="0.2">
      <c r="B13" s="3" t="s">
        <v>10</v>
      </c>
      <c r="C13" s="3"/>
      <c r="D13" s="49"/>
      <c r="E13" s="31"/>
    </row>
    <row r="14" spans="1:8" x14ac:dyDescent="0.2">
      <c r="C14" t="s">
        <v>7</v>
      </c>
      <c r="D14" s="50">
        <f>D9+D8</f>
        <v>485.77500000000032</v>
      </c>
      <c r="E14" s="35">
        <f>E9+E8</f>
        <v>350.61300000000023</v>
      </c>
    </row>
    <row r="15" spans="1:8" x14ac:dyDescent="0.2">
      <c r="C15" t="s">
        <v>8</v>
      </c>
      <c r="D15" s="47">
        <f>(D10/D9)*D14</f>
        <v>169.60410608261452</v>
      </c>
      <c r="E15" s="33">
        <f>(E10/E9)*E14</f>
        <v>120.42036160876565</v>
      </c>
      <c r="G15" s="9"/>
    </row>
    <row r="16" spans="1:8" x14ac:dyDescent="0.2">
      <c r="C16" t="s">
        <v>9</v>
      </c>
      <c r="D16" s="45">
        <f>D14-D15</f>
        <v>316.1708939173858</v>
      </c>
      <c r="E16" s="31">
        <f>E14-E15</f>
        <v>230.1926383912346</v>
      </c>
      <c r="G16" s="9"/>
      <c r="H16" s="5"/>
    </row>
    <row r="17" spans="2:12" x14ac:dyDescent="0.2">
      <c r="D17" s="45"/>
      <c r="E17" s="5"/>
    </row>
    <row r="18" spans="2:12" x14ac:dyDescent="0.2">
      <c r="D18" s="45"/>
      <c r="E18" s="5"/>
    </row>
    <row r="19" spans="2:12" x14ac:dyDescent="0.2">
      <c r="B19" s="3" t="s">
        <v>46</v>
      </c>
      <c r="C19" s="3"/>
      <c r="D19" s="49"/>
      <c r="E19" s="5"/>
    </row>
    <row r="20" spans="2:12" x14ac:dyDescent="0.2">
      <c r="B20" s="3" t="s">
        <v>53</v>
      </c>
      <c r="C20" s="3"/>
      <c r="D20" s="49"/>
      <c r="E20" s="5"/>
    </row>
    <row r="21" spans="2:12" x14ac:dyDescent="0.2">
      <c r="B21" t="s">
        <v>11</v>
      </c>
      <c r="C21" t="s">
        <v>61</v>
      </c>
      <c r="D21" s="44">
        <v>417.01499999999999</v>
      </c>
      <c r="E21" s="44">
        <v>325.33600000000001</v>
      </c>
      <c r="G21" s="4"/>
    </row>
    <row r="22" spans="2:12" x14ac:dyDescent="0.2">
      <c r="C22" t="s">
        <v>12</v>
      </c>
      <c r="D22" s="44">
        <f>119.769</f>
        <v>119.76900000000001</v>
      </c>
      <c r="E22" s="44">
        <v>115.30200000000001</v>
      </c>
      <c r="G22" s="4"/>
    </row>
    <row r="23" spans="2:12" x14ac:dyDescent="0.2">
      <c r="C23" t="s">
        <v>13</v>
      </c>
      <c r="D23" s="44">
        <v>344.99599999999998</v>
      </c>
      <c r="E23" s="44">
        <v>298.04199999999997</v>
      </c>
      <c r="G23" s="4"/>
    </row>
    <row r="24" spans="2:12" x14ac:dyDescent="0.2">
      <c r="C24" s="12" t="s">
        <v>14</v>
      </c>
      <c r="D24" s="53">
        <f>34.039+86.292+15.73</f>
        <v>136.06100000000001</v>
      </c>
      <c r="E24" s="53">
        <f>37.608+24.723+77.665</f>
        <v>139.99600000000001</v>
      </c>
      <c r="G24" s="5"/>
    </row>
    <row r="25" spans="2:12" x14ac:dyDescent="0.2">
      <c r="C25" t="s">
        <v>15</v>
      </c>
      <c r="D25" s="45">
        <f>SUM(D21:D24)</f>
        <v>1017.841</v>
      </c>
      <c r="E25" s="32">
        <f>SUM(E21:E24)</f>
        <v>878.67600000000004</v>
      </c>
    </row>
    <row r="26" spans="2:12" x14ac:dyDescent="0.2">
      <c r="D26" s="45"/>
      <c r="E26" s="31"/>
    </row>
    <row r="27" spans="2:12" x14ac:dyDescent="0.2">
      <c r="C27" s="39" t="s">
        <v>16</v>
      </c>
      <c r="D27" s="44">
        <v>253.369</v>
      </c>
      <c r="E27" s="44">
        <v>213.77799999999999</v>
      </c>
    </row>
    <row r="28" spans="2:12" x14ac:dyDescent="0.2">
      <c r="C28" t="s">
        <v>0</v>
      </c>
      <c r="D28" s="44">
        <v>107.21599999999999</v>
      </c>
      <c r="E28" s="44">
        <v>77.718000000000004</v>
      </c>
    </row>
    <row r="29" spans="2:12" hidden="1" x14ac:dyDescent="0.2">
      <c r="C29" t="s">
        <v>55</v>
      </c>
      <c r="D29" s="44"/>
      <c r="E29" s="44"/>
    </row>
    <row r="30" spans="2:12" x14ac:dyDescent="0.2">
      <c r="C30" t="s">
        <v>17</v>
      </c>
      <c r="D30" s="44">
        <f>56.988+12.817+22.389+15.872</f>
        <v>108.066</v>
      </c>
      <c r="E30" s="53">
        <f>42.251+5+10.601</f>
        <v>57.851999999999997</v>
      </c>
    </row>
    <row r="31" spans="2:12" x14ac:dyDescent="0.2">
      <c r="C31" t="s">
        <v>18</v>
      </c>
      <c r="D31" s="52">
        <f>SUM(D27:D30)</f>
        <v>468.65099999999995</v>
      </c>
      <c r="E31" s="36">
        <f>SUM(E27:E30)</f>
        <v>349.34799999999996</v>
      </c>
    </row>
    <row r="32" spans="2:12" x14ac:dyDescent="0.2">
      <c r="C32" t="s">
        <v>19</v>
      </c>
      <c r="D32" s="45">
        <f>D25+D31</f>
        <v>1486.492</v>
      </c>
      <c r="E32" s="31">
        <f>E25+E31</f>
        <v>1228.0239999999999</v>
      </c>
      <c r="L32" s="15"/>
    </row>
    <row r="33" spans="2:12" x14ac:dyDescent="0.2">
      <c r="D33" s="45"/>
      <c r="E33" s="31"/>
      <c r="G33" s="4"/>
      <c r="H33" s="4"/>
      <c r="K33" s="15"/>
    </row>
    <row r="34" spans="2:12" x14ac:dyDescent="0.2">
      <c r="B34" s="3" t="s">
        <v>20</v>
      </c>
      <c r="C34" s="3"/>
      <c r="D34" s="49"/>
      <c r="E34" s="31"/>
      <c r="G34" s="4"/>
      <c r="H34" s="4"/>
      <c r="K34" s="15"/>
      <c r="L34" s="15"/>
    </row>
    <row r="35" spans="2:12" x14ac:dyDescent="0.2">
      <c r="C35" t="s">
        <v>45</v>
      </c>
      <c r="D35" s="44">
        <v>169.036</v>
      </c>
      <c r="E35" s="44">
        <v>146.74299999999999</v>
      </c>
      <c r="G35" s="4"/>
      <c r="H35" s="4"/>
    </row>
    <row r="36" spans="2:12" x14ac:dyDescent="0.2">
      <c r="C36" t="s">
        <v>1</v>
      </c>
      <c r="D36" s="44">
        <f>139.14+47.723+107.008+86.733+73.529</f>
        <v>454.13299999999998</v>
      </c>
      <c r="E36" s="44">
        <f>187.671+44.355+81.228+76.512+75.73</f>
        <v>465.49599999999998</v>
      </c>
      <c r="G36" s="6"/>
      <c r="H36" s="4"/>
      <c r="K36" s="15"/>
      <c r="L36" s="15"/>
    </row>
    <row r="37" spans="2:12" x14ac:dyDescent="0.2">
      <c r="C37" t="s">
        <v>21</v>
      </c>
      <c r="D37" s="44"/>
      <c r="E37" s="44"/>
      <c r="G37" s="4"/>
      <c r="H37" s="4"/>
      <c r="K37" s="15"/>
      <c r="L37" s="15"/>
    </row>
    <row r="38" spans="2:12" x14ac:dyDescent="0.2">
      <c r="C38" t="s">
        <v>22</v>
      </c>
      <c r="D38" s="44">
        <v>2.887</v>
      </c>
      <c r="E38" s="44">
        <v>2.653</v>
      </c>
      <c r="G38" s="4"/>
      <c r="H38" s="4"/>
      <c r="K38" s="15"/>
      <c r="L38" s="15"/>
    </row>
    <row r="39" spans="2:12" x14ac:dyDescent="0.2">
      <c r="C39" s="12" t="s">
        <v>65</v>
      </c>
      <c r="D39" s="53">
        <v>4.9729999999999999</v>
      </c>
      <c r="E39" s="53">
        <f>0.639</f>
        <v>0.63900000000000001</v>
      </c>
      <c r="G39" s="4"/>
      <c r="H39" s="4"/>
      <c r="K39" s="15"/>
      <c r="L39" s="15"/>
    </row>
    <row r="40" spans="2:12" x14ac:dyDescent="0.2">
      <c r="C40" t="s">
        <v>48</v>
      </c>
      <c r="D40" s="45">
        <f>SUM(D35:D39)</f>
        <v>631.02899999999988</v>
      </c>
      <c r="E40" s="31">
        <f>SUM(E35:E39)</f>
        <v>615.53100000000006</v>
      </c>
      <c r="G40" s="4"/>
      <c r="H40" s="4"/>
      <c r="J40" s="15"/>
      <c r="K40" s="15"/>
      <c r="L40" s="15"/>
    </row>
    <row r="41" spans="2:12" x14ac:dyDescent="0.2">
      <c r="D41" s="45"/>
      <c r="E41" s="31"/>
      <c r="G41" s="4"/>
      <c r="H41" s="4"/>
      <c r="L41" s="15"/>
    </row>
    <row r="42" spans="2:12" x14ac:dyDescent="0.2">
      <c r="C42" t="s">
        <v>23</v>
      </c>
      <c r="D42" s="45">
        <f>4.292+100</f>
        <v>104.292</v>
      </c>
      <c r="E42" s="32">
        <f>4.6+100</f>
        <v>104.6</v>
      </c>
      <c r="G42" s="4"/>
      <c r="H42" s="4"/>
    </row>
    <row r="43" spans="2:12" x14ac:dyDescent="0.2">
      <c r="C43" t="s">
        <v>24</v>
      </c>
      <c r="D43" s="51">
        <f>7.063+53.578</f>
        <v>60.641000000000005</v>
      </c>
      <c r="E43" s="31">
        <f>7.837</f>
        <v>7.8369999999999997</v>
      </c>
      <c r="G43" s="4"/>
      <c r="H43" s="4"/>
    </row>
    <row r="44" spans="2:12" x14ac:dyDescent="0.2">
      <c r="C44" t="s">
        <v>25</v>
      </c>
      <c r="D44" s="46">
        <v>690.53</v>
      </c>
      <c r="E44" s="37">
        <v>500.05599999999998</v>
      </c>
      <c r="G44" s="4"/>
      <c r="H44" s="4"/>
    </row>
    <row r="45" spans="2:12" x14ac:dyDescent="0.2">
      <c r="C45" t="s">
        <v>56</v>
      </c>
      <c r="D45" s="45">
        <f>D40+D42+D43+D44</f>
        <v>1486.4919999999997</v>
      </c>
      <c r="E45" s="31">
        <f>E40+SUM(E42:E44)</f>
        <v>1228.0239999999999</v>
      </c>
      <c r="G45" s="4"/>
      <c r="H45" s="4"/>
    </row>
    <row r="46" spans="2:12" x14ac:dyDescent="0.2">
      <c r="D46" s="45"/>
      <c r="E46" s="31"/>
      <c r="G46" s="4"/>
      <c r="H46" s="4"/>
      <c r="K46" s="15"/>
      <c r="L46" s="15"/>
    </row>
    <row r="47" spans="2:12" x14ac:dyDescent="0.2">
      <c r="D47" s="45"/>
      <c r="E47" s="31"/>
      <c r="G47" s="4"/>
      <c r="H47" s="9"/>
    </row>
    <row r="48" spans="2:12" x14ac:dyDescent="0.2">
      <c r="C48" t="s">
        <v>26</v>
      </c>
      <c r="D48" s="45">
        <f>(D25-D21)-(D40-D37-D38)</f>
        <v>-27.315999999999917</v>
      </c>
      <c r="E48" s="31">
        <f>(E25-E21)-(E40-E37-E38)</f>
        <v>-59.538000000000011</v>
      </c>
      <c r="F48" s="12"/>
      <c r="G48" s="4"/>
      <c r="H48" s="5"/>
    </row>
    <row r="50" spans="1:7" x14ac:dyDescent="0.2">
      <c r="G50" s="5"/>
    </row>
    <row r="51" spans="1:7" x14ac:dyDescent="0.2">
      <c r="A51" s="39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32"/>
  <sheetViews>
    <sheetView zoomScaleNormal="100" workbookViewId="0"/>
  </sheetViews>
  <sheetFormatPr defaultColWidth="8.85546875" defaultRowHeight="12.75" x14ac:dyDescent="0.2"/>
  <cols>
    <col min="1" max="1" width="4.28515625" customWidth="1"/>
    <col min="2" max="2" width="3.28515625" customWidth="1"/>
    <col min="3" max="4" width="21.85546875" customWidth="1"/>
    <col min="5" max="5" width="16.28515625" customWidth="1"/>
    <col min="6" max="6" width="10.7109375" customWidth="1"/>
  </cols>
  <sheetData>
    <row r="1" spans="1:242" ht="15.75" x14ac:dyDescent="0.25">
      <c r="A1" s="11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</row>
    <row r="2" spans="1:242" x14ac:dyDescent="0.2">
      <c r="B2" s="3" t="s">
        <v>27</v>
      </c>
      <c r="D2" s="42">
        <v>41274</v>
      </c>
      <c r="E2" s="57"/>
    </row>
    <row r="3" spans="1:242" x14ac:dyDescent="0.2">
      <c r="C3" t="s">
        <v>28</v>
      </c>
      <c r="E3" s="21"/>
      <c r="M3" s="10"/>
      <c r="N3" s="10"/>
      <c r="O3" s="10"/>
    </row>
    <row r="4" spans="1:242" x14ac:dyDescent="0.2">
      <c r="C4" t="s">
        <v>29</v>
      </c>
      <c r="D4" s="31">
        <f>'IS &amp; BS'!D37+'IS &amp; BS'!D38</f>
        <v>2.887</v>
      </c>
      <c r="E4" s="55"/>
      <c r="F4" s="6"/>
      <c r="M4" s="2"/>
      <c r="N4" s="2"/>
    </row>
    <row r="5" spans="1:242" x14ac:dyDescent="0.2">
      <c r="C5" t="s">
        <v>23</v>
      </c>
      <c r="D5" s="36">
        <f>('IS &amp; BS'!D42)</f>
        <v>104.292</v>
      </c>
      <c r="E5" s="55"/>
    </row>
    <row r="6" spans="1:242" x14ac:dyDescent="0.2">
      <c r="C6" t="s">
        <v>54</v>
      </c>
      <c r="D6" s="31">
        <f>SUM(D4:D5)</f>
        <v>107.179</v>
      </c>
      <c r="E6" s="55"/>
      <c r="M6" s="6"/>
      <c r="N6" s="6"/>
      <c r="O6" s="6"/>
    </row>
    <row r="7" spans="1:242" x14ac:dyDescent="0.2">
      <c r="C7" t="s">
        <v>31</v>
      </c>
      <c r="E7" s="55"/>
    </row>
    <row r="8" spans="1:242" x14ac:dyDescent="0.2">
      <c r="C8" t="s">
        <v>30</v>
      </c>
      <c r="D8">
        <v>0</v>
      </c>
      <c r="E8" s="55"/>
    </row>
    <row r="9" spans="1:242" x14ac:dyDescent="0.2">
      <c r="C9" s="12" t="s">
        <v>32</v>
      </c>
      <c r="D9" s="54">
        <f>84.15*68.647</f>
        <v>5776.645050000001</v>
      </c>
      <c r="E9" s="56"/>
      <c r="F9" s="12"/>
    </row>
    <row r="10" spans="1:242" x14ac:dyDescent="0.2">
      <c r="C10" t="s">
        <v>33</v>
      </c>
      <c r="D10" s="31">
        <f>SUM(D6:D9)</f>
        <v>5883.8240500000011</v>
      </c>
      <c r="E10" s="55"/>
    </row>
    <row r="11" spans="1:242" x14ac:dyDescent="0.2">
      <c r="E11" s="21"/>
    </row>
    <row r="12" spans="1:242" x14ac:dyDescent="0.2">
      <c r="B12" s="3" t="s">
        <v>38</v>
      </c>
      <c r="E12" s="21"/>
    </row>
    <row r="13" spans="1:242" x14ac:dyDescent="0.2">
      <c r="C13" t="s">
        <v>42</v>
      </c>
      <c r="D13" s="14">
        <v>1.58E-3</v>
      </c>
      <c r="E13" s="58"/>
    </row>
    <row r="14" spans="1:242" x14ac:dyDescent="0.2">
      <c r="C14" t="s">
        <v>43</v>
      </c>
      <c r="D14" s="8">
        <f>'Equity Returns 2012'!G5</f>
        <v>1.3598430640567596</v>
      </c>
      <c r="E14" s="25"/>
    </row>
    <row r="15" spans="1:242" x14ac:dyDescent="0.2">
      <c r="C15" t="s">
        <v>52</v>
      </c>
      <c r="D15" s="43">
        <v>8.3000000000000004E-2</v>
      </c>
      <c r="E15" s="59"/>
    </row>
    <row r="16" spans="1:242" x14ac:dyDescent="0.2">
      <c r="C16" t="s">
        <v>37</v>
      </c>
      <c r="D16" s="14">
        <f>D13+D14*D15</f>
        <v>0.11444697431671105</v>
      </c>
      <c r="E16" s="58"/>
    </row>
    <row r="17" spans="3:6" x14ac:dyDescent="0.2">
      <c r="C17" t="s">
        <v>35</v>
      </c>
      <c r="D17" s="14">
        <f>'IS &amp; BS'!D8/D6</f>
        <v>5.5346663058994772E-2</v>
      </c>
      <c r="E17" s="58"/>
    </row>
    <row r="18" spans="3:6" x14ac:dyDescent="0.2">
      <c r="C18" t="s">
        <v>36</v>
      </c>
      <c r="D18" s="7">
        <f>'IS &amp; BS'!D10/'IS &amp; BS'!D9</f>
        <v>0.34914128162753211</v>
      </c>
      <c r="E18" s="60"/>
      <c r="F18" s="18"/>
    </row>
    <row r="19" spans="3:6" x14ac:dyDescent="0.2">
      <c r="C19" t="s">
        <v>34</v>
      </c>
      <c r="D19" s="7">
        <f>D6/D10</f>
        <v>1.821587441929029E-2</v>
      </c>
      <c r="E19" s="60"/>
      <c r="F19" s="6"/>
    </row>
    <row r="20" spans="3:6" x14ac:dyDescent="0.2">
      <c r="E20" s="21"/>
    </row>
    <row r="21" spans="3:6" x14ac:dyDescent="0.2">
      <c r="C21" t="s">
        <v>39</v>
      </c>
      <c r="D21" s="6">
        <f>D19*(1-D18)*D17+(1-D19)*D16</f>
        <v>0.11301841046580778</v>
      </c>
      <c r="E21" s="61"/>
    </row>
    <row r="22" spans="3:6" x14ac:dyDescent="0.2">
      <c r="E22" s="21"/>
    </row>
    <row r="23" spans="3:6" x14ac:dyDescent="0.2">
      <c r="E23" s="21"/>
    </row>
    <row r="24" spans="3:6" x14ac:dyDescent="0.2">
      <c r="C24" s="39"/>
      <c r="D24" s="16"/>
      <c r="E24" s="62"/>
    </row>
    <row r="25" spans="3:6" x14ac:dyDescent="0.2">
      <c r="C25" s="16"/>
      <c r="E25" s="21"/>
      <c r="F25" s="6"/>
    </row>
    <row r="30" spans="3:6" x14ac:dyDescent="0.2">
      <c r="F30" s="39"/>
    </row>
    <row r="32" spans="3:6" x14ac:dyDescent="0.2">
      <c r="E32" s="39"/>
      <c r="F32" s="39"/>
    </row>
  </sheetData>
  <phoneticPr fontId="4" type="noConversion"/>
  <pageMargins left="0.75" right="0.75" top="1" bottom="1" header="0.5" footer="0.5"/>
  <pageSetup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0"/>
  <sheetViews>
    <sheetView zoomScaleNormal="100" workbookViewId="0">
      <selection activeCell="D68" sqref="D68"/>
    </sheetView>
  </sheetViews>
  <sheetFormatPr defaultColWidth="8.85546875" defaultRowHeight="12.75" x14ac:dyDescent="0.2"/>
  <cols>
    <col min="2" max="2" width="9" customWidth="1"/>
    <col min="3" max="3" width="13.42578125" bestFit="1" customWidth="1"/>
    <col min="4" max="5" width="10.7109375" customWidth="1"/>
    <col min="11" max="12" width="11.140625" bestFit="1" customWidth="1"/>
  </cols>
  <sheetData>
    <row r="1" spans="1:20" ht="15.75" x14ac:dyDescent="0.25">
      <c r="A1" s="20" t="s">
        <v>75</v>
      </c>
      <c r="B1" s="20"/>
      <c r="C1" s="20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">
      <c r="A2" s="21"/>
      <c r="B2" s="21"/>
      <c r="C2" s="21"/>
      <c r="D2" s="22" t="s">
        <v>68</v>
      </c>
      <c r="E2" s="21"/>
      <c r="F2" s="21"/>
      <c r="G2" s="21" t="s">
        <v>47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">
      <c r="A3" s="21"/>
      <c r="B3" s="23" t="s">
        <v>40</v>
      </c>
      <c r="C3" s="23" t="s">
        <v>41</v>
      </c>
      <c r="D3" s="23" t="s">
        <v>49</v>
      </c>
      <c r="E3" s="21" t="s">
        <v>50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">
      <c r="A4" s="21"/>
      <c r="B4" s="23"/>
      <c r="C4" s="23"/>
      <c r="D4" s="23"/>
      <c r="E4" s="21"/>
      <c r="F4" s="21"/>
      <c r="G4" s="21"/>
      <c r="H4" s="21"/>
      <c r="I4" s="21"/>
      <c r="J4" s="21"/>
      <c r="K4" s="21" t="s">
        <v>64</v>
      </c>
      <c r="L4" s="21" t="s">
        <v>67</v>
      </c>
      <c r="M4" s="21"/>
      <c r="N4" s="21"/>
      <c r="O4" s="21"/>
      <c r="P4" s="21"/>
      <c r="Q4" s="21"/>
      <c r="R4" s="21"/>
      <c r="S4" s="21"/>
      <c r="T4" s="21"/>
    </row>
    <row r="5" spans="1:20" x14ac:dyDescent="0.2">
      <c r="A5" s="21"/>
      <c r="B5" s="24">
        <v>20121231</v>
      </c>
      <c r="C5" s="29">
        <v>1.2534E-2</v>
      </c>
      <c r="D5" s="29">
        <v>-7.7819999999999999E-3</v>
      </c>
      <c r="E5" s="40">
        <f t="shared" ref="E5:E36" si="0">D$78+G$5*(C5-C$78)</f>
        <v>3.913938771127505E-2</v>
      </c>
      <c r="F5" s="21"/>
      <c r="G5" s="25">
        <f>LINEST(D5:D40,C5:C40)</f>
        <v>1.3598430640567596</v>
      </c>
      <c r="H5" s="41" t="s">
        <v>71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x14ac:dyDescent="0.2">
      <c r="A6" s="21"/>
      <c r="B6" s="24">
        <v>20121130</v>
      </c>
      <c r="C6" s="29">
        <v>6.1910000000000003E-3</v>
      </c>
      <c r="D6" s="29">
        <v>8.0470000000000003E-3</v>
      </c>
      <c r="E6" s="40">
        <f t="shared" si="0"/>
        <v>3.0513903155963026E-2</v>
      </c>
      <c r="F6" s="21"/>
      <c r="G6" s="25">
        <f>1000*(1+D5)</f>
        <v>992.21800000000007</v>
      </c>
      <c r="H6" s="21"/>
      <c r="I6" s="21"/>
      <c r="J6" s="21" t="s">
        <v>62</v>
      </c>
      <c r="K6" s="6">
        <f>MIN(C5:C40)</f>
        <v>-8.4873000000000004E-2</v>
      </c>
      <c r="L6" s="6">
        <f>MIN(D5:D40)</f>
        <v>-0.1067</v>
      </c>
      <c r="M6" s="21"/>
      <c r="N6" s="21"/>
      <c r="O6" s="21"/>
      <c r="P6" s="21"/>
      <c r="Q6" s="21"/>
      <c r="R6" s="21"/>
      <c r="S6" s="21"/>
      <c r="T6" s="21"/>
    </row>
    <row r="7" spans="1:20" x14ac:dyDescent="0.2">
      <c r="A7" s="21"/>
      <c r="B7" s="24">
        <v>20121031</v>
      </c>
      <c r="C7" s="29">
        <v>-1.41E-2</v>
      </c>
      <c r="D7" s="29">
        <v>4.4887000000000003E-2</v>
      </c>
      <c r="E7" s="40">
        <f t="shared" si="0"/>
        <v>2.9213275431873194E-3</v>
      </c>
      <c r="F7" s="21"/>
      <c r="G7" s="25">
        <f>LINEST(D5:D28,C5:C28)</f>
        <v>1.3724471882036853</v>
      </c>
      <c r="H7" s="41" t="s">
        <v>70</v>
      </c>
      <c r="I7" s="21"/>
      <c r="J7" s="21" t="s">
        <v>63</v>
      </c>
      <c r="K7" s="6">
        <f>MAX(C5:C40)</f>
        <v>0.113984</v>
      </c>
      <c r="L7" s="6">
        <f>MAX(D5:D40)</f>
        <v>0.272063</v>
      </c>
      <c r="M7" s="21"/>
      <c r="N7" s="21"/>
      <c r="O7" s="21"/>
      <c r="P7" s="21"/>
      <c r="Q7" s="21"/>
      <c r="R7" s="21"/>
      <c r="S7" s="21"/>
      <c r="T7" s="21"/>
    </row>
    <row r="8" spans="1:20" x14ac:dyDescent="0.2">
      <c r="A8" s="21"/>
      <c r="B8" s="24">
        <v>20120928</v>
      </c>
      <c r="C8" s="29">
        <v>2.6539E-2</v>
      </c>
      <c r="D8" s="29">
        <v>7.5541999999999998E-2</v>
      </c>
      <c r="E8" s="40">
        <f t="shared" si="0"/>
        <v>5.8183989823389973E-2</v>
      </c>
      <c r="F8" s="21"/>
      <c r="G8" s="25">
        <f>LINEST(D5:D64,C5:C64)</f>
        <v>1.6538484045805055</v>
      </c>
      <c r="H8" s="41" t="s">
        <v>72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x14ac:dyDescent="0.2">
      <c r="A9" s="21"/>
      <c r="B9" s="24">
        <v>20120831</v>
      </c>
      <c r="C9" s="29">
        <v>2.6265E-2</v>
      </c>
      <c r="D9" s="29">
        <v>5.3220000000000003E-3</v>
      </c>
      <c r="E9" s="40">
        <f t="shared" si="0"/>
        <v>5.7811392823838417E-2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x14ac:dyDescent="0.2">
      <c r="A10" s="21"/>
      <c r="B10" s="24">
        <v>20120731</v>
      </c>
      <c r="C10" s="29">
        <v>1.0266000000000001E-2</v>
      </c>
      <c r="D10" s="29">
        <v>5.1483000000000001E-2</v>
      </c>
      <c r="E10" s="40">
        <f t="shared" si="0"/>
        <v>3.6055263641994323E-2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x14ac:dyDescent="0.2">
      <c r="A11" s="21"/>
      <c r="B11" s="24">
        <v>20120629</v>
      </c>
      <c r="C11" s="29">
        <v>3.8156000000000002E-2</v>
      </c>
      <c r="D11" s="29">
        <v>-5.9102000000000002E-2</v>
      </c>
      <c r="E11" s="40">
        <f t="shared" si="0"/>
        <v>7.3981286698537346E-2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4">
        <v>20120531</v>
      </c>
      <c r="C12" s="29">
        <v>-6.5530000000000005E-2</v>
      </c>
      <c r="D12" s="29">
        <v>-3.9023000000000002E-2</v>
      </c>
      <c r="E12" s="40">
        <f t="shared" si="0"/>
        <v>-6.7015401241251826E-2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4">
        <v>20120430</v>
      </c>
      <c r="C13" s="29">
        <v>-6.8009999999999998E-3</v>
      </c>
      <c r="D13" s="29">
        <v>0.10104</v>
      </c>
      <c r="E13" s="40">
        <f t="shared" si="0"/>
        <v>1.2846822067737606E-2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4">
        <v>20120330</v>
      </c>
      <c r="C14" s="29">
        <v>2.3993E-2</v>
      </c>
      <c r="D14" s="29">
        <v>9.2188999999999993E-2</v>
      </c>
      <c r="E14" s="40">
        <f t="shared" si="0"/>
        <v>5.4721829382301468E-2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4">
        <v>20120229</v>
      </c>
      <c r="C15" s="29">
        <v>4.1186E-2</v>
      </c>
      <c r="D15" s="29">
        <v>3.1522000000000001E-2</v>
      </c>
      <c r="E15" s="40">
        <f t="shared" si="0"/>
        <v>7.810161118262933E-2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4">
        <v>20120131</v>
      </c>
      <c r="C16" s="29">
        <v>5.4077E-2</v>
      </c>
      <c r="D16" s="29">
        <v>0.15041099999999999</v>
      </c>
      <c r="E16" s="40">
        <f t="shared" si="0"/>
        <v>9.5631348121385018E-2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6"/>
      <c r="B17" s="24">
        <v>20111230</v>
      </c>
      <c r="C17" s="29">
        <v>3.7009999999999999E-3</v>
      </c>
      <c r="D17" s="29">
        <v>-6.8552000000000002E-2</v>
      </c>
      <c r="E17" s="40">
        <f t="shared" si="0"/>
        <v>2.7127893926461696E-2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6"/>
      <c r="B18" s="24">
        <v>20111130</v>
      </c>
      <c r="C18" s="29">
        <v>-6.2249999999999996E-3</v>
      </c>
      <c r="D18" s="29">
        <v>-5.1152999999999997E-2</v>
      </c>
      <c r="E18" s="30">
        <f t="shared" si="0"/>
        <v>1.3630091672634299E-2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6"/>
      <c r="B19" s="24">
        <v>20111031</v>
      </c>
      <c r="C19" s="29">
        <v>0.113984</v>
      </c>
      <c r="D19" s="29">
        <v>0.272063</v>
      </c>
      <c r="E19" s="30">
        <f t="shared" si="0"/>
        <v>0.17709546655983333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6"/>
      <c r="B20" s="24">
        <v>20110930</v>
      </c>
      <c r="C20" s="29">
        <v>-8.4873000000000004E-2</v>
      </c>
      <c r="D20" s="29">
        <v>-9.0380000000000002E-2</v>
      </c>
      <c r="E20" s="30">
        <f t="shared" si="0"/>
        <v>-9.3318845629301733E-2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6"/>
      <c r="B21" s="24">
        <v>20110831</v>
      </c>
      <c r="C21" s="29">
        <v>-5.7471000000000001E-2</v>
      </c>
      <c r="D21" s="29">
        <v>-7.3218000000000005E-2</v>
      </c>
      <c r="E21" s="30">
        <f t="shared" si="0"/>
        <v>-5.6056425988018396E-2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6"/>
      <c r="B22" s="24">
        <v>20110729</v>
      </c>
      <c r="C22" s="29">
        <v>-2.247E-2</v>
      </c>
      <c r="D22" s="29">
        <v>7.0432999999999996E-2</v>
      </c>
      <c r="E22" s="30">
        <f t="shared" si="0"/>
        <v>-8.460558902967763E-3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6"/>
      <c r="B23" s="24">
        <v>20110630</v>
      </c>
      <c r="C23" s="29">
        <v>-1.8395000000000002E-2</v>
      </c>
      <c r="D23" s="29">
        <v>7.4310000000000001E-3</v>
      </c>
      <c r="E23" s="30">
        <f t="shared" si="0"/>
        <v>-2.9191984169364658E-3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6"/>
      <c r="B24" s="24">
        <v>20110531</v>
      </c>
      <c r="C24" s="29">
        <v>-1.4933E-2</v>
      </c>
      <c r="D24" s="29">
        <v>4.6665999999999999E-2</v>
      </c>
      <c r="E24" s="30">
        <f t="shared" si="0"/>
        <v>1.7885782708280361E-3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6"/>
      <c r="B25" s="24">
        <v>20110429</v>
      </c>
      <c r="C25" s="29">
        <v>2.8688999999999999E-2</v>
      </c>
      <c r="D25" s="29">
        <v>0.21673200000000001</v>
      </c>
      <c r="E25" s="30">
        <f t="shared" si="0"/>
        <v>6.1107652411112004E-2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6"/>
      <c r="B26" s="24">
        <v>20110331</v>
      </c>
      <c r="C26" s="29">
        <v>3.3739999999999998E-3</v>
      </c>
      <c r="D26" s="29">
        <v>0.15334700000000001</v>
      </c>
      <c r="E26" s="30">
        <f t="shared" si="0"/>
        <v>2.6683225244515135E-2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6"/>
      <c r="B27" s="24">
        <v>20110228</v>
      </c>
      <c r="C27" s="29">
        <v>3.8163999999999997E-2</v>
      </c>
      <c r="D27" s="29">
        <v>-1.9111E-2</v>
      </c>
      <c r="E27" s="30">
        <f t="shared" si="0"/>
        <v>7.399216544304979E-2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6"/>
      <c r="B28" s="24">
        <v>20110131</v>
      </c>
      <c r="C28" s="29">
        <v>1.9157E-2</v>
      </c>
      <c r="D28" s="29">
        <v>-8.3309999999999999E-3</v>
      </c>
      <c r="E28" s="30">
        <f t="shared" si="0"/>
        <v>4.8145628324522974E-2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6"/>
      <c r="B29" s="24">
        <v>20101231</v>
      </c>
      <c r="C29" s="29">
        <v>6.7152000000000003E-2</v>
      </c>
      <c r="D29" s="29">
        <v>7.3325000000000001E-2</v>
      </c>
      <c r="E29" s="30">
        <f t="shared" si="0"/>
        <v>0.11341129618392716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6"/>
      <c r="B30" s="24">
        <v>20101130</v>
      </c>
      <c r="C30" s="29">
        <v>5.1650000000000003E-3</v>
      </c>
      <c r="D30" s="29">
        <v>2.2506999999999999E-2</v>
      </c>
      <c r="E30" s="30">
        <f t="shared" si="0"/>
        <v>2.9118704172240793E-2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6"/>
      <c r="B31" s="24">
        <v>20101029</v>
      </c>
      <c r="C31" s="29">
        <v>3.8531999999999997E-2</v>
      </c>
      <c r="D31" s="29">
        <v>9.8156999999999994E-2</v>
      </c>
      <c r="E31" s="30">
        <f t="shared" si="0"/>
        <v>7.4492587690622683E-2</v>
      </c>
      <c r="F31" s="21"/>
      <c r="G31" s="21"/>
      <c r="H31" s="21"/>
      <c r="I31" s="21"/>
      <c r="J31" s="21"/>
      <c r="K31" s="4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6"/>
      <c r="B32" s="24">
        <v>20100930</v>
      </c>
      <c r="C32" s="29">
        <v>9.1518000000000002E-2</v>
      </c>
      <c r="D32" s="29">
        <v>0.22070100000000001</v>
      </c>
      <c r="E32" s="30">
        <f t="shared" si="0"/>
        <v>0.14654523228273414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6"/>
      <c r="B33" s="24">
        <v>20100831</v>
      </c>
      <c r="C33" s="29">
        <v>-4.2818000000000002E-2</v>
      </c>
      <c r="D33" s="29">
        <v>-0.1067</v>
      </c>
      <c r="E33" s="30">
        <f t="shared" si="0"/>
        <v>-3.6130645570394707E-2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6"/>
      <c r="B34" s="24">
        <v>20100730</v>
      </c>
      <c r="C34" s="29">
        <v>7.1554000000000006E-2</v>
      </c>
      <c r="D34" s="29">
        <v>0.10033</v>
      </c>
      <c r="E34" s="30">
        <f t="shared" si="0"/>
        <v>0.11939732535190502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6"/>
      <c r="B35" s="24">
        <v>20100630</v>
      </c>
      <c r="C35" s="29">
        <v>-5.0721000000000002E-2</v>
      </c>
      <c r="D35" s="29">
        <v>-6.9505999999999998E-2</v>
      </c>
      <c r="E35" s="30">
        <f t="shared" si="0"/>
        <v>-4.6877485305635277E-2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6"/>
      <c r="B36" s="24">
        <v>20100528</v>
      </c>
      <c r="C36" s="29">
        <v>-7.9141000000000003E-2</v>
      </c>
      <c r="D36" s="29">
        <v>-7.9430000000000004E-3</v>
      </c>
      <c r="E36" s="30">
        <f t="shared" si="0"/>
        <v>-8.5524225186128386E-2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6"/>
      <c r="B37" s="24">
        <v>20100430</v>
      </c>
      <c r="C37" s="29">
        <v>2.0011000000000001E-2</v>
      </c>
      <c r="D37" s="29">
        <v>0.164386</v>
      </c>
      <c r="E37" s="30">
        <f t="shared" ref="E37:E68" si="1">D$78+G$5*(C37-C$78)</f>
        <v>4.9306934301227442E-2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6"/>
      <c r="B38" s="24">
        <v>20100331</v>
      </c>
      <c r="C38" s="29">
        <v>6.3604999999999995E-2</v>
      </c>
      <c r="D38" s="29">
        <v>0.118496</v>
      </c>
      <c r="E38" s="30">
        <f t="shared" si="1"/>
        <v>0.10858793283571781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6"/>
      <c r="B39" s="24">
        <v>20100226</v>
      </c>
      <c r="C39" s="29">
        <v>3.4775E-2</v>
      </c>
      <c r="D39" s="29">
        <v>3.4608E-2</v>
      </c>
      <c r="E39" s="30">
        <f t="shared" si="1"/>
        <v>6.9383657298961454E-2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6"/>
      <c r="B40" s="24">
        <v>20100129</v>
      </c>
      <c r="C40" s="29">
        <v>-3.7097999999999999E-2</v>
      </c>
      <c r="D40" s="29">
        <v>2.2461999999999999E-2</v>
      </c>
      <c r="E40" s="30">
        <f t="shared" si="1"/>
        <v>-2.8352343243990039E-2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6"/>
      <c r="B41" s="24">
        <v>20091231</v>
      </c>
      <c r="C41" s="29">
        <v>2.8419E-2</v>
      </c>
      <c r="D41" s="29">
        <v>0</v>
      </c>
      <c r="E41" s="30">
        <f t="shared" si="1"/>
        <v>6.0740494783816677E-2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6"/>
      <c r="B42" s="24">
        <v>20091130</v>
      </c>
      <c r="C42" s="29">
        <v>5.7098999999999997E-2</v>
      </c>
      <c r="D42" s="29">
        <v>3.7081000000000003E-2</v>
      </c>
      <c r="E42" s="30">
        <f t="shared" si="1"/>
        <v>9.9740793860964544E-2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6"/>
      <c r="B43" s="24">
        <v>20091030</v>
      </c>
      <c r="C43" s="29">
        <v>-2.7997999999999999E-2</v>
      </c>
      <c r="D43" s="29">
        <v>4.1196999999999998E-2</v>
      </c>
      <c r="E43" s="30">
        <f t="shared" si="1"/>
        <v>-1.5977771361073527E-2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6"/>
      <c r="B44" s="24">
        <v>20090930</v>
      </c>
      <c r="C44" s="29">
        <v>4.5234999999999997E-2</v>
      </c>
      <c r="D44" s="29">
        <v>8.1410999999999997E-2</v>
      </c>
      <c r="E44" s="30">
        <f t="shared" si="1"/>
        <v>8.360761574899514E-2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6"/>
      <c r="B45" s="24">
        <v>20090831</v>
      </c>
      <c r="C45" s="29">
        <v>3.1466000000000001E-2</v>
      </c>
      <c r="D45" s="29">
        <v>-4.2249999999999996E-3</v>
      </c>
      <c r="E45" s="30">
        <f t="shared" si="1"/>
        <v>6.4883936599997638E-2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6"/>
      <c r="B46" s="24">
        <v>20090731</v>
      </c>
      <c r="C46" s="29">
        <v>8.1717999999999999E-2</v>
      </c>
      <c r="D46" s="29">
        <v>0.19115799999999999</v>
      </c>
      <c r="E46" s="30">
        <f t="shared" si="1"/>
        <v>0.13321877025497791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6"/>
      <c r="B47" s="24">
        <v>20090630</v>
      </c>
      <c r="C47" s="29">
        <v>-3.0980000000000001E-3</v>
      </c>
      <c r="D47" s="29">
        <v>1.1017000000000001E-2</v>
      </c>
      <c r="E47" s="30">
        <f t="shared" si="1"/>
        <v>1.7882320933939787E-2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6"/>
      <c r="B48" s="24">
        <v>20090529</v>
      </c>
      <c r="C48" s="29">
        <v>6.7789000000000002E-2</v>
      </c>
      <c r="D48" s="29">
        <v>-5.0223999999999998E-2</v>
      </c>
      <c r="E48" s="30">
        <f t="shared" si="1"/>
        <v>0.1142775162157313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6"/>
      <c r="B49" s="24">
        <v>20090430</v>
      </c>
      <c r="C49" s="29">
        <v>0.109359</v>
      </c>
      <c r="D49" s="29">
        <v>0.57835800000000004</v>
      </c>
      <c r="E49" s="30">
        <f t="shared" si="1"/>
        <v>0.17080619238857081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6"/>
      <c r="B50" s="24">
        <v>20090331</v>
      </c>
      <c r="C50" s="29">
        <v>8.6693000000000006E-2</v>
      </c>
      <c r="D50" s="29">
        <v>0.16458500000000001</v>
      </c>
      <c r="E50" s="30">
        <f t="shared" si="1"/>
        <v>0.13998398949866031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6"/>
      <c r="B51" s="24">
        <v>20090227</v>
      </c>
      <c r="C51" s="29">
        <v>-0.100184</v>
      </c>
      <c r="D51" s="29">
        <v>-0.134462</v>
      </c>
      <c r="E51" s="30">
        <f t="shared" si="1"/>
        <v>-0.11413940278307476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6"/>
      <c r="B52" s="24">
        <v>20090130</v>
      </c>
      <c r="C52" s="29">
        <v>-7.7331999999999998E-2</v>
      </c>
      <c r="D52" s="29">
        <v>-0.243979</v>
      </c>
      <c r="E52" s="30">
        <f t="shared" si="1"/>
        <v>-8.3064269083249695E-2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6"/>
      <c r="B53" s="24">
        <v>20081231</v>
      </c>
      <c r="C53" s="29">
        <v>2.2148999999999999E-2</v>
      </c>
      <c r="D53" s="29">
        <v>4.9451000000000002E-2</v>
      </c>
      <c r="E53" s="30">
        <f t="shared" si="1"/>
        <v>5.2214278772180794E-2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6"/>
      <c r="B54" s="24">
        <v>20081128</v>
      </c>
      <c r="C54" s="29">
        <v>-8.4614999999999996E-2</v>
      </c>
      <c r="D54" s="29">
        <v>-0.189189</v>
      </c>
      <c r="E54" s="30">
        <f t="shared" si="1"/>
        <v>-9.2968006118775079E-2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6"/>
      <c r="B55" s="24">
        <v>20081031</v>
      </c>
      <c r="C55" s="29">
        <v>-0.18460299999999999</v>
      </c>
      <c r="D55" s="29">
        <v>-0.25148399999999999</v>
      </c>
      <c r="E55" s="30">
        <f t="shared" si="1"/>
        <v>-0.22893599440768231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6"/>
      <c r="B56" s="24">
        <v>20080930</v>
      </c>
      <c r="C56" s="29">
        <v>-9.8004999999999995E-2</v>
      </c>
      <c r="D56" s="29">
        <v>8.8710000000000004E-3</v>
      </c>
      <c r="E56" s="30">
        <f t="shared" si="1"/>
        <v>-0.11117630474649508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6"/>
      <c r="B57" s="24">
        <v>20080829</v>
      </c>
      <c r="C57" s="29">
        <v>1.0564E-2</v>
      </c>
      <c r="D57" s="29">
        <v>5.3504999999999997E-2</v>
      </c>
      <c r="E57" s="30">
        <f t="shared" si="1"/>
        <v>3.6460496875083237E-2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6"/>
      <c r="B58" s="24">
        <v>20080731</v>
      </c>
      <c r="C58" s="29">
        <v>-1.333E-2</v>
      </c>
      <c r="D58" s="29">
        <v>6.9341E-2</v>
      </c>
      <c r="E58" s="30">
        <f t="shared" si="1"/>
        <v>3.9684067025110223E-3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6"/>
      <c r="B59" s="24">
        <v>20080630</v>
      </c>
      <c r="C59" s="29">
        <v>-7.8434000000000004E-2</v>
      </c>
      <c r="D59" s="29">
        <v>-0.15381400000000001</v>
      </c>
      <c r="E59" s="30">
        <f t="shared" si="1"/>
        <v>-8.4562816139840249E-2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6"/>
      <c r="B60" s="24">
        <v>20080530</v>
      </c>
      <c r="C60" s="29">
        <v>2.3843E-2</v>
      </c>
      <c r="D60" s="29">
        <v>2.5134E-2</v>
      </c>
      <c r="E60" s="30">
        <f t="shared" si="1"/>
        <v>5.4517852922692941E-2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6"/>
      <c r="B61" s="24">
        <v>20080430</v>
      </c>
      <c r="C61" s="29">
        <v>5.1104999999999998E-2</v>
      </c>
      <c r="D61" s="29">
        <v>0.14435500000000001</v>
      </c>
      <c r="E61" s="30">
        <f t="shared" si="1"/>
        <v>9.158989453500832E-2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6"/>
      <c r="B62" s="24">
        <v>20080331</v>
      </c>
      <c r="C62" s="29">
        <v>-1.042E-2</v>
      </c>
      <c r="D62" s="29">
        <v>7.4122999999999994E-2</v>
      </c>
      <c r="E62" s="30">
        <f t="shared" si="1"/>
        <v>7.9255500189161915E-3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6"/>
      <c r="B63" s="24">
        <v>20080229</v>
      </c>
      <c r="C63" s="29">
        <v>-2.1652999999999999E-2</v>
      </c>
      <c r="D63" s="29">
        <v>-0.123709</v>
      </c>
      <c r="E63" s="30">
        <f t="shared" si="1"/>
        <v>-7.3495671196333809E-3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6"/>
      <c r="B64" s="24">
        <v>20080131</v>
      </c>
      <c r="C64" s="29">
        <v>-6.2150999999999998E-2</v>
      </c>
      <c r="D64" s="29">
        <v>-7.9966999999999996E-2</v>
      </c>
      <c r="E64" s="30">
        <f t="shared" si="1"/>
        <v>-6.2420491527804031E-2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6"/>
      <c r="B65" s="24">
        <v>20071231</v>
      </c>
      <c r="C65" s="29">
        <v>-4.4190000000000002E-3</v>
      </c>
      <c r="D65" s="29">
        <v>4.8507000000000002E-2</v>
      </c>
      <c r="E65" s="30">
        <f t="shared" si="1"/>
        <v>1.6085968246320803E-2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6"/>
      <c r="B66" s="24">
        <v>20071130</v>
      </c>
      <c r="C66" s="29">
        <v>-4.9222000000000002E-2</v>
      </c>
      <c r="D66" s="29">
        <v>-7.3607000000000006E-2</v>
      </c>
      <c r="E66" s="30">
        <f t="shared" si="1"/>
        <v>-4.4839080552614194E-2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6"/>
      <c r="B67" s="24">
        <v>20071031</v>
      </c>
      <c r="C67" s="29">
        <v>2.5835E-2</v>
      </c>
      <c r="D67" s="29">
        <v>0.13525899999999999</v>
      </c>
      <c r="E67" s="30">
        <f t="shared" si="1"/>
        <v>5.722666030629401E-2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6"/>
      <c r="B68" s="24">
        <v>20070928</v>
      </c>
      <c r="C68" s="29">
        <v>4.086E-2</v>
      </c>
      <c r="D68" s="29">
        <v>-8.6491999999999999E-2</v>
      </c>
      <c r="E68" s="30">
        <f t="shared" si="1"/>
        <v>7.7658302343746821E-2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6"/>
      <c r="B69" s="24">
        <v>20070831</v>
      </c>
      <c r="C69" s="29">
        <v>1.1656E-2</v>
      </c>
      <c r="D69" s="29">
        <v>-3.2618000000000001E-2</v>
      </c>
      <c r="E69" s="30">
        <f t="shared" ref="E69:E76" si="2">D$78+G$5*(C69-C$78)</f>
        <v>3.7945445501033216E-2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6"/>
      <c r="B70" s="24">
        <v>20070731</v>
      </c>
      <c r="C70" s="29">
        <v>-3.1756E-2</v>
      </c>
      <c r="D70" s="29">
        <v>-8.2349000000000006E-2</v>
      </c>
      <c r="E70" s="30">
        <f t="shared" si="2"/>
        <v>-2.1088061595798825E-2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6"/>
      <c r="B71" s="24">
        <v>20070629</v>
      </c>
      <c r="C71" s="29">
        <v>-1.4756E-2</v>
      </c>
      <c r="D71" s="29">
        <v>-1.6881E-2</v>
      </c>
      <c r="E71" s="30">
        <f t="shared" si="2"/>
        <v>2.029270493166084E-3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6"/>
      <c r="B72" s="24">
        <v>20070531</v>
      </c>
      <c r="C72" s="29">
        <v>3.8932000000000001E-2</v>
      </c>
      <c r="D72" s="29">
        <v>9.0243000000000004E-2</v>
      </c>
      <c r="E72" s="30">
        <f t="shared" si="2"/>
        <v>7.5036524916245406E-2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6"/>
      <c r="B73" s="24">
        <v>20070430</v>
      </c>
      <c r="C73" s="29">
        <v>3.9821000000000002E-2</v>
      </c>
      <c r="D73" s="29">
        <v>6.0233000000000002E-2</v>
      </c>
      <c r="E73" s="30">
        <f t="shared" si="2"/>
        <v>7.6245425400191857E-2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6"/>
      <c r="B74" s="24">
        <v>20070330</v>
      </c>
      <c r="C74" s="29">
        <v>1.2949E-2</v>
      </c>
      <c r="D74" s="29">
        <v>1.879E-3</v>
      </c>
      <c r="E74" s="30">
        <f t="shared" si="2"/>
        <v>3.9703722582858605E-2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6"/>
      <c r="B75" s="24">
        <v>20070228</v>
      </c>
      <c r="C75" s="29">
        <v>-1.3957000000000001E-2</v>
      </c>
      <c r="D75" s="29">
        <v>2.4166E-2</v>
      </c>
      <c r="E75" s="30">
        <f t="shared" si="2"/>
        <v>3.1157851013474298E-3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6"/>
      <c r="B76" s="24">
        <v>20070131</v>
      </c>
      <c r="C76" s="29">
        <v>1.9428000000000001E-2</v>
      </c>
      <c r="D76" s="29">
        <v>5.7650000000000002E-3</v>
      </c>
      <c r="E76" s="30">
        <f t="shared" si="2"/>
        <v>4.8514145794882356E-2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6"/>
      <c r="B77" s="26"/>
      <c r="C77" s="26"/>
      <c r="D77" s="26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6"/>
      <c r="B78" s="26"/>
      <c r="C78" s="27">
        <f>AVERAGE(C5:C76)</f>
        <v>3.7083194444444429E-3</v>
      </c>
      <c r="D78" s="27">
        <f>AVERAGE(D5:D76)</f>
        <v>2.7137847222222219E-2</v>
      </c>
      <c r="E78" s="21">
        <f>AVERAGE(E5:E76)</f>
        <v>2.7137847222222226E-2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6"/>
      <c r="C79" s="27">
        <f>MIN(C5:C76)</f>
        <v>-0.18460299999999999</v>
      </c>
      <c r="D79" s="27">
        <f>MIN(D5:D76)</f>
        <v>-0.25148399999999999</v>
      </c>
      <c r="E79" s="21">
        <f>MIN(E5:E76)</f>
        <v>-0.22893599440768231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6"/>
      <c r="C80" s="27">
        <f>MAX(C5:C76)</f>
        <v>0.113984</v>
      </c>
      <c r="D80" s="27">
        <f>MAX(D5:D76)</f>
        <v>0.57835800000000004</v>
      </c>
      <c r="E80" s="21">
        <f>MAX(E5:E76)</f>
        <v>0.17709546655983333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20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20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20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20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20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20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20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20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20" x14ac:dyDescent="0.2">
      <c r="A159" s="21"/>
      <c r="B159" s="21"/>
      <c r="C159" s="21"/>
      <c r="D159" s="21"/>
      <c r="E159" s="21"/>
      <c r="F159" s="21"/>
    </row>
    <row r="160" spans="1:20" x14ac:dyDescent="0.2">
      <c r="A160" s="21"/>
      <c r="B160" s="21"/>
      <c r="C160" s="21"/>
      <c r="D160" s="21"/>
      <c r="E160" s="21"/>
      <c r="F160" s="21"/>
    </row>
    <row r="161" spans="1:5" x14ac:dyDescent="0.2">
      <c r="A161" s="21"/>
      <c r="B161" s="21"/>
      <c r="C161" s="21"/>
      <c r="D161" s="21"/>
      <c r="E161" s="21"/>
    </row>
    <row r="162" spans="1:5" x14ac:dyDescent="0.2">
      <c r="A162" s="21"/>
      <c r="B162" s="21"/>
      <c r="C162" s="21"/>
      <c r="D162" s="21"/>
      <c r="E162" s="21"/>
    </row>
    <row r="163" spans="1:5" x14ac:dyDescent="0.2">
      <c r="A163" s="21"/>
      <c r="B163" s="21"/>
      <c r="C163" s="21"/>
      <c r="D163" s="21"/>
      <c r="E163" s="21"/>
    </row>
    <row r="164" spans="1:5" x14ac:dyDescent="0.2">
      <c r="A164" s="21"/>
      <c r="B164" s="21"/>
      <c r="C164" s="21"/>
      <c r="D164" s="21"/>
      <c r="E164" s="21"/>
    </row>
    <row r="165" spans="1:5" x14ac:dyDescent="0.2">
      <c r="A165" s="21"/>
      <c r="B165" s="21"/>
      <c r="C165" s="21"/>
      <c r="D165" s="21"/>
      <c r="E165" s="21"/>
    </row>
    <row r="166" spans="1:5" x14ac:dyDescent="0.2">
      <c r="A166" s="21"/>
      <c r="B166" s="21"/>
      <c r="C166" s="21"/>
      <c r="D166" s="21"/>
      <c r="E166" s="21"/>
    </row>
    <row r="167" spans="1:5" x14ac:dyDescent="0.2">
      <c r="A167" s="21"/>
      <c r="B167" s="21"/>
      <c r="C167" s="21"/>
      <c r="D167" s="21"/>
      <c r="E167" s="21"/>
    </row>
    <row r="168" spans="1:5" x14ac:dyDescent="0.2">
      <c r="A168" s="21"/>
      <c r="B168" s="21"/>
      <c r="C168" s="21"/>
      <c r="D168" s="21"/>
      <c r="E168" s="21"/>
    </row>
    <row r="169" spans="1:5" x14ac:dyDescent="0.2">
      <c r="B169" s="21"/>
      <c r="C169" s="21"/>
      <c r="D169" s="21"/>
      <c r="E169" s="21"/>
    </row>
    <row r="170" spans="1:5" x14ac:dyDescent="0.2">
      <c r="B170" s="21"/>
      <c r="C170" s="21"/>
      <c r="D170" s="21"/>
      <c r="E170" s="21"/>
    </row>
  </sheetData>
  <phoneticPr fontId="9" type="noConversion"/>
  <pageMargins left="0.75" right="0.75" top="1" bottom="1" header="0.5" footer="0.5"/>
  <pageSetup scale="54" orientation="landscape" horizontalDpi="120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5" sqref="B15"/>
    </sheetView>
  </sheetViews>
  <sheetFormatPr defaultColWidth="8.85546875" defaultRowHeight="12.75" x14ac:dyDescent="0.2"/>
  <cols>
    <col min="2" max="2" width="18.42578125" customWidth="1"/>
    <col min="3" max="3" width="11.140625" customWidth="1"/>
  </cols>
  <sheetData>
    <row r="1" spans="1:3" ht="15.75" x14ac:dyDescent="0.25">
      <c r="A1" s="11" t="s">
        <v>59</v>
      </c>
    </row>
    <row r="3" spans="1:3" x14ac:dyDescent="0.2">
      <c r="A3">
        <v>2013</v>
      </c>
      <c r="B3" s="39" t="s">
        <v>74</v>
      </c>
      <c r="C3" s="10" t="s">
        <v>58</v>
      </c>
    </row>
    <row r="4" spans="1:3" x14ac:dyDescent="0.2">
      <c r="A4">
        <v>2014</v>
      </c>
      <c r="B4">
        <v>1</v>
      </c>
      <c r="C4" s="13">
        <v>1.58E-3</v>
      </c>
    </row>
    <row r="5" spans="1:3" x14ac:dyDescent="0.2">
      <c r="A5">
        <v>2015</v>
      </c>
      <c r="B5">
        <v>2</v>
      </c>
      <c r="C5" s="13">
        <v>3.8400000000000001E-3</v>
      </c>
    </row>
    <row r="6" spans="1:3" x14ac:dyDescent="0.2">
      <c r="A6">
        <v>2016</v>
      </c>
      <c r="B6">
        <v>3</v>
      </c>
      <c r="C6" s="13">
        <v>7.1199999999999996E-3</v>
      </c>
    </row>
    <row r="7" spans="1:3" x14ac:dyDescent="0.2">
      <c r="A7">
        <v>2018</v>
      </c>
      <c r="B7">
        <v>5</v>
      </c>
      <c r="C7" s="13">
        <v>1.409E-2</v>
      </c>
    </row>
    <row r="8" spans="1:3" x14ac:dyDescent="0.2">
      <c r="A8">
        <v>2023</v>
      </c>
      <c r="B8">
        <v>10</v>
      </c>
      <c r="C8" s="13">
        <v>2.4479999999999998E-2</v>
      </c>
    </row>
    <row r="23" spans="2:2" x14ac:dyDescent="0.2">
      <c r="B23" s="38" t="s">
        <v>2</v>
      </c>
    </row>
    <row r="24" spans="2:2" x14ac:dyDescent="0.2">
      <c r="B24" s="17" t="s">
        <v>60</v>
      </c>
    </row>
  </sheetData>
  <phoneticPr fontId="4" type="noConversion"/>
  <hyperlinks>
    <hyperlink ref="B23" r:id="rId1"/>
    <hyperlink ref="B24" r:id="rId2"/>
  </hyperlinks>
  <pageMargins left="0.75" right="0.75" top="1" bottom="1" header="0.5" footer="0.5"/>
  <pageSetup orientation="portrait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IS &amp; BS</vt:lpstr>
      <vt:lpstr>Capital Structure</vt:lpstr>
      <vt:lpstr>Equity Returns 2012</vt:lpstr>
      <vt:lpstr>Term Structure</vt:lpstr>
      <vt:lpstr>'Capital Structure'!Print_Area</vt:lpstr>
      <vt:lpstr>'IS &amp; BS'!Print_Area</vt:lpstr>
    </vt:vector>
  </TitlesOfParts>
  <Company>Kellogg School of Management Northwestern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Petersen</dc:creator>
  <cp:lastModifiedBy>Mitchell Petersen</cp:lastModifiedBy>
  <cp:lastPrinted>2011-09-12T20:02:19Z</cp:lastPrinted>
  <dcterms:created xsi:type="dcterms:W3CDTF">2004-03-25T21:50:33Z</dcterms:created>
  <dcterms:modified xsi:type="dcterms:W3CDTF">2013-07-17T16:52:41Z</dcterms:modified>
</cp:coreProperties>
</file>