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5" yWindow="5115" windowWidth="21630" windowHeight="5175"/>
  </bookViews>
  <sheets>
    <sheet name="Copyright" sheetId="36" r:id="rId1"/>
    <sheet name="Exh 1 Stores" sheetId="19" r:id="rId2"/>
    <sheet name="Exh 2 Teuer IS" sheetId="17" r:id="rId3"/>
    <sheet name="Exh 3 Teuer BS" sheetId="18" r:id="rId4"/>
    <sheet name="Exh 4 Econ Indicators" sheetId="25" r:id="rId5"/>
    <sheet name="Exh 5 Stores IS" sheetId="3" r:id="rId6"/>
    <sheet name="Exh 6 Stores BS" sheetId="5" r:id="rId7"/>
    <sheet name="Exh 7 Teuer CFA" sheetId="12" r:id="rId8"/>
    <sheet name="Exh 8 Sales Forecasting" sheetId="32" r:id="rId9"/>
    <sheet name="Exh 9 Capital Forecasting" sheetId="34" r:id="rId10"/>
    <sheet name="Exh 10 Forecast Parameters" sheetId="24" r:id="rId11"/>
    <sheet name="Teuer IS Pro Forma" sheetId="26" r:id="rId12"/>
    <sheet name="Teuer BS Pro Forma" sheetId="29" r:id="rId13"/>
    <sheet name="Teuer CFA - Pro Forma" sheetId="6" r:id="rId1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36" i="34" l="1"/>
  <c r="C17" i="26"/>
  <c r="C16" i="17"/>
  <c r="I24" i="3"/>
  <c r="I25" i="3"/>
  <c r="I26" i="3"/>
  <c r="J24" i="3"/>
  <c r="J25" i="3"/>
  <c r="J26" i="3"/>
  <c r="K24" i="3"/>
  <c r="K25" i="3"/>
  <c r="K26" i="3"/>
  <c r="L24" i="3"/>
  <c r="L25" i="3"/>
  <c r="L26" i="3"/>
  <c r="M24" i="3"/>
  <c r="M25" i="3"/>
  <c r="M26" i="3"/>
  <c r="N24" i="3"/>
  <c r="N26" i="3"/>
  <c r="O20" i="3"/>
  <c r="O21" i="3"/>
  <c r="O22" i="3"/>
  <c r="O23" i="3"/>
  <c r="O24" i="3"/>
  <c r="O25" i="3"/>
  <c r="O26" i="3"/>
  <c r="P20" i="3"/>
  <c r="P21" i="3"/>
  <c r="P22" i="3"/>
  <c r="P23" i="3"/>
  <c r="P24" i="3"/>
  <c r="P25" i="3"/>
  <c r="P26" i="3"/>
  <c r="Q20" i="3"/>
  <c r="Q21" i="3"/>
  <c r="Q22" i="3"/>
  <c r="Q23" i="3"/>
  <c r="Q24" i="3"/>
  <c r="Q25" i="3"/>
  <c r="Q26" i="3"/>
  <c r="R20" i="3"/>
  <c r="R21" i="3"/>
  <c r="R22" i="3"/>
  <c r="R23" i="3"/>
  <c r="R24" i="3"/>
  <c r="R25" i="3"/>
  <c r="R26" i="3"/>
  <c r="S20" i="3"/>
  <c r="S21" i="3"/>
  <c r="S22" i="3"/>
  <c r="S23" i="3"/>
  <c r="S24" i="3"/>
  <c r="S25" i="3"/>
  <c r="S26" i="3"/>
  <c r="T20" i="3"/>
  <c r="T21" i="3"/>
  <c r="T22" i="3"/>
  <c r="T23" i="3"/>
  <c r="T24" i="3"/>
  <c r="T25" i="3"/>
  <c r="T26" i="3"/>
  <c r="U20" i="3"/>
  <c r="U21" i="3"/>
  <c r="U22" i="3"/>
  <c r="U23" i="3"/>
  <c r="U24" i="3"/>
  <c r="U25" i="3"/>
  <c r="U26" i="3"/>
  <c r="H24" i="3"/>
  <c r="H26" i="3"/>
  <c r="H16" i="3"/>
  <c r="H17" i="3"/>
  <c r="H18" i="3"/>
  <c r="I16" i="3"/>
  <c r="I17" i="3"/>
  <c r="I18" i="3"/>
  <c r="J16" i="3"/>
  <c r="J17" i="3"/>
  <c r="J18" i="3"/>
  <c r="K16" i="3"/>
  <c r="K17" i="3"/>
  <c r="K18" i="3"/>
  <c r="L16" i="3"/>
  <c r="L17" i="3"/>
  <c r="L18" i="3"/>
  <c r="M16" i="3"/>
  <c r="M18" i="3"/>
  <c r="N16" i="3"/>
  <c r="N17" i="3"/>
  <c r="N18" i="3"/>
  <c r="O12" i="3"/>
  <c r="O13" i="3"/>
  <c r="O14" i="3"/>
  <c r="O15" i="3"/>
  <c r="O16" i="3"/>
  <c r="O17" i="3"/>
  <c r="O18" i="3"/>
  <c r="P12" i="3"/>
  <c r="P13" i="3"/>
  <c r="P14" i="3"/>
  <c r="P15" i="3"/>
  <c r="P16" i="3"/>
  <c r="P17" i="3"/>
  <c r="P18" i="3"/>
  <c r="Q12" i="3"/>
  <c r="Q13" i="3"/>
  <c r="Q14" i="3"/>
  <c r="Q15" i="3"/>
  <c r="Q16" i="3"/>
  <c r="Q17" i="3"/>
  <c r="Q18" i="3"/>
  <c r="R12" i="3"/>
  <c r="R13" i="3"/>
  <c r="R14" i="3"/>
  <c r="R15" i="3"/>
  <c r="R16" i="3"/>
  <c r="R17" i="3"/>
  <c r="R18" i="3"/>
  <c r="S12" i="3"/>
  <c r="S13" i="3"/>
  <c r="S14" i="3"/>
  <c r="S15" i="3"/>
  <c r="S16" i="3"/>
  <c r="S17" i="3"/>
  <c r="S18" i="3"/>
  <c r="T12" i="3"/>
  <c r="T13" i="3"/>
  <c r="T14" i="3"/>
  <c r="T15" i="3"/>
  <c r="T16" i="3"/>
  <c r="T17" i="3"/>
  <c r="T18" i="3"/>
  <c r="U12" i="3"/>
  <c r="U13" i="3"/>
  <c r="U14" i="3"/>
  <c r="U15" i="3"/>
  <c r="U16" i="3"/>
  <c r="U17" i="3"/>
  <c r="U18" i="3"/>
  <c r="G16" i="3"/>
  <c r="G18" i="3"/>
  <c r="H8" i="3"/>
  <c r="G9" i="3"/>
  <c r="H9" i="3"/>
  <c r="H10" i="3"/>
  <c r="I8" i="3"/>
  <c r="I9" i="3"/>
  <c r="I10" i="3"/>
  <c r="J8" i="3"/>
  <c r="J9" i="3"/>
  <c r="J10" i="3"/>
  <c r="K8" i="3"/>
  <c r="K9" i="3"/>
  <c r="K10" i="3"/>
  <c r="L8" i="3"/>
  <c r="L10" i="3"/>
  <c r="M8" i="3"/>
  <c r="M9" i="3"/>
  <c r="M10" i="3"/>
  <c r="N8" i="3"/>
  <c r="N9" i="3"/>
  <c r="N10" i="3"/>
  <c r="O4" i="3"/>
  <c r="O5" i="3"/>
  <c r="O6" i="3"/>
  <c r="O7" i="3"/>
  <c r="O8" i="3"/>
  <c r="O9" i="3"/>
  <c r="O10" i="3"/>
  <c r="P4" i="3"/>
  <c r="P5" i="3"/>
  <c r="P6" i="3"/>
  <c r="P7" i="3"/>
  <c r="P8" i="3"/>
  <c r="P9" i="3"/>
  <c r="P10" i="3"/>
  <c r="Q4" i="3"/>
  <c r="Q5" i="3"/>
  <c r="Q6" i="3"/>
  <c r="Q7" i="3"/>
  <c r="Q8" i="3"/>
  <c r="Q9" i="3"/>
  <c r="Q10" i="3"/>
  <c r="R4" i="3"/>
  <c r="R5" i="3"/>
  <c r="R6" i="3"/>
  <c r="R7" i="3"/>
  <c r="R8" i="3"/>
  <c r="R9" i="3"/>
  <c r="R10" i="3"/>
  <c r="S4" i="3"/>
  <c r="S5" i="3"/>
  <c r="S6" i="3"/>
  <c r="S7" i="3"/>
  <c r="S8" i="3"/>
  <c r="S9" i="3"/>
  <c r="S10" i="3"/>
  <c r="T4" i="3"/>
  <c r="T5" i="3"/>
  <c r="T6" i="3"/>
  <c r="T7" i="3"/>
  <c r="T8" i="3"/>
  <c r="T9" i="3"/>
  <c r="T10" i="3"/>
  <c r="U4" i="3"/>
  <c r="U5" i="3"/>
  <c r="U6" i="3"/>
  <c r="U7" i="3"/>
  <c r="U8" i="3"/>
  <c r="U9" i="3"/>
  <c r="U10" i="3"/>
  <c r="G8" i="3"/>
  <c r="G10" i="3"/>
  <c r="F8" i="3"/>
  <c r="F10" i="3"/>
  <c r="R105" i="3"/>
  <c r="Q97" i="3"/>
  <c r="P89" i="3"/>
  <c r="L9" i="12"/>
  <c r="K9" i="12"/>
  <c r="J9" i="12"/>
  <c r="I9" i="12"/>
  <c r="H9" i="12"/>
  <c r="G9" i="12"/>
  <c r="F9" i="12"/>
  <c r="E9" i="12"/>
  <c r="D9" i="12"/>
  <c r="E3" i="17"/>
  <c r="E3" i="12"/>
  <c r="F3" i="17"/>
  <c r="F3" i="12"/>
  <c r="G3" i="17"/>
  <c r="G3" i="12"/>
  <c r="H3" i="17"/>
  <c r="H3" i="12"/>
  <c r="I3" i="17"/>
  <c r="I3" i="12"/>
  <c r="J3" i="17"/>
  <c r="J3" i="12"/>
  <c r="K3" i="17"/>
  <c r="K3" i="12"/>
  <c r="L3" i="17"/>
  <c r="L3" i="12"/>
  <c r="E4" i="17"/>
  <c r="E5" i="17"/>
  <c r="E6" i="17"/>
  <c r="E7" i="17"/>
  <c r="E8" i="17"/>
  <c r="E4" i="12"/>
  <c r="F4" i="17"/>
  <c r="F5" i="17"/>
  <c r="F6" i="17"/>
  <c r="F7" i="17"/>
  <c r="F8" i="17"/>
  <c r="F4" i="12"/>
  <c r="G4" i="17"/>
  <c r="G5" i="17"/>
  <c r="G6" i="17"/>
  <c r="I32" i="3"/>
  <c r="G7" i="17"/>
  <c r="G8" i="17"/>
  <c r="G4" i="12"/>
  <c r="H4" i="17"/>
  <c r="H5" i="17"/>
  <c r="H6" i="17"/>
  <c r="J32" i="3"/>
  <c r="J40" i="3"/>
  <c r="H7" i="17"/>
  <c r="J33" i="3"/>
  <c r="H8" i="17"/>
  <c r="H4" i="12"/>
  <c r="I4" i="17"/>
  <c r="I5" i="17"/>
  <c r="I6" i="17"/>
  <c r="K32" i="3"/>
  <c r="K40" i="3"/>
  <c r="K48" i="3"/>
  <c r="I7" i="17"/>
  <c r="K33" i="3"/>
  <c r="K41" i="3"/>
  <c r="I8" i="17"/>
  <c r="I4" i="12"/>
  <c r="J4" i="17"/>
  <c r="J5" i="17"/>
  <c r="J6" i="17"/>
  <c r="L32" i="3"/>
  <c r="L40" i="3"/>
  <c r="L48" i="3"/>
  <c r="L56" i="3"/>
  <c r="J7" i="17"/>
  <c r="L33" i="3"/>
  <c r="L41" i="3"/>
  <c r="L49" i="3"/>
  <c r="J8" i="17"/>
  <c r="J4" i="12"/>
  <c r="K4" i="17"/>
  <c r="K5" i="17"/>
  <c r="K6" i="17"/>
  <c r="M32" i="3"/>
  <c r="M40" i="3"/>
  <c r="M48" i="3"/>
  <c r="M56" i="3"/>
  <c r="M64" i="3"/>
  <c r="K7" i="17"/>
  <c r="M33" i="3"/>
  <c r="M41" i="3"/>
  <c r="M49" i="3"/>
  <c r="M57" i="3"/>
  <c r="K8" i="17"/>
  <c r="K4" i="12"/>
  <c r="L4" i="17"/>
  <c r="L5" i="17"/>
  <c r="L6" i="17"/>
  <c r="N32" i="3"/>
  <c r="N40" i="3"/>
  <c r="N48" i="3"/>
  <c r="N56" i="3"/>
  <c r="N64" i="3"/>
  <c r="N72" i="3"/>
  <c r="L7" i="17"/>
  <c r="N33" i="3"/>
  <c r="N41" i="3"/>
  <c r="N49" i="3"/>
  <c r="N57" i="3"/>
  <c r="N65" i="3"/>
  <c r="L8" i="17"/>
  <c r="L4" i="12"/>
  <c r="E10" i="17"/>
  <c r="E12" i="17"/>
  <c r="E5" i="12"/>
  <c r="F10" i="17"/>
  <c r="F12" i="17"/>
  <c r="F5" i="12"/>
  <c r="G10" i="17"/>
  <c r="G12" i="17"/>
  <c r="G5" i="12"/>
  <c r="H10" i="17"/>
  <c r="D3" i="17"/>
  <c r="D4" i="17"/>
  <c r="D5" i="17"/>
  <c r="D6" i="17"/>
  <c r="D7" i="17"/>
  <c r="D8" i="17"/>
  <c r="D10" i="17"/>
  <c r="D11" i="17"/>
  <c r="E11" i="17"/>
  <c r="F11" i="17"/>
  <c r="G11" i="17"/>
  <c r="H12" i="17"/>
  <c r="H5" i="12"/>
  <c r="I10" i="17"/>
  <c r="H11" i="17"/>
  <c r="I12" i="17"/>
  <c r="I5" i="12"/>
  <c r="J10" i="17"/>
  <c r="I11" i="17"/>
  <c r="J12" i="17"/>
  <c r="J5" i="12"/>
  <c r="K10" i="17"/>
  <c r="J11" i="17"/>
  <c r="K12" i="17"/>
  <c r="K5" i="12"/>
  <c r="L10" i="17"/>
  <c r="K11" i="17"/>
  <c r="L12" i="17"/>
  <c r="L5" i="12"/>
  <c r="D12" i="17"/>
  <c r="D5" i="12"/>
  <c r="D4" i="12"/>
  <c r="D3" i="12"/>
  <c r="C9" i="12"/>
  <c r="O76" i="3"/>
  <c r="C18" i="6"/>
  <c r="B14" i="24"/>
  <c r="C17" i="6"/>
  <c r="C67" i="34"/>
  <c r="D67" i="34"/>
  <c r="C68" i="34"/>
  <c r="D68" i="34"/>
  <c r="C3" i="34"/>
  <c r="D3" i="34"/>
  <c r="E3" i="34"/>
  <c r="F3" i="34"/>
  <c r="G3" i="34"/>
  <c r="H3" i="34"/>
  <c r="I3" i="34"/>
  <c r="J3" i="34"/>
  <c r="K3" i="34"/>
  <c r="C4" i="34"/>
  <c r="D4" i="34"/>
  <c r="E4" i="34"/>
  <c r="F4" i="34"/>
  <c r="G4" i="34"/>
  <c r="H4" i="34"/>
  <c r="I4" i="34"/>
  <c r="J4" i="34"/>
  <c r="C5" i="34"/>
  <c r="D5" i="34"/>
  <c r="E5" i="34"/>
  <c r="F5" i="34"/>
  <c r="G5" i="34"/>
  <c r="H5" i="34"/>
  <c r="I5" i="34"/>
  <c r="C6" i="34"/>
  <c r="D6" i="34"/>
  <c r="E6" i="34"/>
  <c r="F6" i="34"/>
  <c r="G6" i="34"/>
  <c r="H6" i="34"/>
  <c r="C7" i="34"/>
  <c r="D7" i="34"/>
  <c r="E7" i="34"/>
  <c r="F7" i="34"/>
  <c r="G7" i="34"/>
  <c r="C8" i="34"/>
  <c r="D8" i="34"/>
  <c r="E8" i="34"/>
  <c r="F8" i="34"/>
  <c r="C9" i="34"/>
  <c r="D9" i="34"/>
  <c r="E9" i="34"/>
  <c r="C10" i="34"/>
  <c r="D10" i="34"/>
  <c r="C11" i="34"/>
  <c r="C39" i="34"/>
  <c r="D39" i="34"/>
  <c r="E39" i="34"/>
  <c r="F39" i="34"/>
  <c r="G39" i="34"/>
  <c r="H39" i="34"/>
  <c r="I39" i="34"/>
  <c r="J39" i="34"/>
  <c r="K39" i="34"/>
  <c r="C40" i="34"/>
  <c r="D40" i="34"/>
  <c r="E40" i="34"/>
  <c r="F40" i="34"/>
  <c r="G40" i="34"/>
  <c r="H40" i="34"/>
  <c r="I40" i="34"/>
  <c r="J40" i="34"/>
  <c r="C41" i="34"/>
  <c r="D41" i="34"/>
  <c r="E41" i="34"/>
  <c r="F41" i="34"/>
  <c r="G41" i="34"/>
  <c r="H41" i="34"/>
  <c r="I41" i="34"/>
  <c r="C42" i="34"/>
  <c r="D42" i="34"/>
  <c r="E42" i="34"/>
  <c r="F42" i="34"/>
  <c r="G42" i="34"/>
  <c r="H42" i="34"/>
  <c r="C43" i="34"/>
  <c r="D43" i="34"/>
  <c r="E43" i="34"/>
  <c r="F43" i="34"/>
  <c r="G43" i="34"/>
  <c r="C44" i="34"/>
  <c r="D44" i="34"/>
  <c r="E44" i="34"/>
  <c r="F44" i="34"/>
  <c r="C45" i="34"/>
  <c r="D45" i="34"/>
  <c r="E45" i="34"/>
  <c r="C46" i="34"/>
  <c r="D46" i="34"/>
  <c r="C47" i="34"/>
  <c r="C27" i="34"/>
  <c r="D27" i="34"/>
  <c r="E27" i="34"/>
  <c r="F27" i="34"/>
  <c r="G27" i="34"/>
  <c r="H27" i="34"/>
  <c r="I27" i="34"/>
  <c r="J27" i="34"/>
  <c r="K27" i="34"/>
  <c r="C28" i="34"/>
  <c r="D28" i="34"/>
  <c r="E28" i="34"/>
  <c r="F28" i="34"/>
  <c r="G28" i="34"/>
  <c r="H28" i="34"/>
  <c r="I28" i="34"/>
  <c r="J28" i="34"/>
  <c r="C29" i="34"/>
  <c r="D29" i="34"/>
  <c r="E29" i="34"/>
  <c r="F29" i="34"/>
  <c r="G29" i="34"/>
  <c r="H29" i="34"/>
  <c r="I29" i="34"/>
  <c r="C30" i="34"/>
  <c r="D30" i="34"/>
  <c r="E30" i="34"/>
  <c r="F30" i="34"/>
  <c r="G30" i="34"/>
  <c r="H30" i="34"/>
  <c r="C31" i="34"/>
  <c r="D31" i="34"/>
  <c r="E31" i="34"/>
  <c r="F31" i="34"/>
  <c r="G31" i="34"/>
  <c r="C32" i="34"/>
  <c r="D32" i="34"/>
  <c r="E32" i="34"/>
  <c r="F32" i="34"/>
  <c r="C33" i="34"/>
  <c r="D33" i="34"/>
  <c r="E33" i="34"/>
  <c r="C34" i="34"/>
  <c r="D34" i="34"/>
  <c r="C35" i="34"/>
  <c r="C15" i="34"/>
  <c r="D15" i="34"/>
  <c r="E15" i="34"/>
  <c r="F15" i="34"/>
  <c r="G15" i="34"/>
  <c r="H15" i="34"/>
  <c r="I15" i="34"/>
  <c r="J15" i="34"/>
  <c r="K15" i="34"/>
  <c r="C16" i="34"/>
  <c r="D16" i="34"/>
  <c r="E16" i="34"/>
  <c r="F16" i="34"/>
  <c r="G16" i="34"/>
  <c r="H16" i="34"/>
  <c r="I16" i="34"/>
  <c r="J16" i="34"/>
  <c r="C17" i="34"/>
  <c r="D17" i="34"/>
  <c r="E17" i="34"/>
  <c r="F17" i="34"/>
  <c r="G17" i="34"/>
  <c r="H17" i="34"/>
  <c r="I17" i="34"/>
  <c r="C18" i="34"/>
  <c r="D18" i="34"/>
  <c r="E18" i="34"/>
  <c r="F18" i="34"/>
  <c r="G18" i="34"/>
  <c r="H18" i="34"/>
  <c r="C19" i="34"/>
  <c r="D19" i="34"/>
  <c r="E19" i="34"/>
  <c r="F19" i="34"/>
  <c r="G19" i="34"/>
  <c r="C20" i="34"/>
  <c r="D20" i="34"/>
  <c r="E20" i="34"/>
  <c r="F20" i="34"/>
  <c r="C21" i="34"/>
  <c r="D21" i="34"/>
  <c r="E21" i="34"/>
  <c r="C22" i="34"/>
  <c r="D22" i="34"/>
  <c r="C23" i="34"/>
  <c r="O77" i="3"/>
  <c r="F4" i="24"/>
  <c r="G4" i="24"/>
  <c r="H4" i="24"/>
  <c r="O28" i="3"/>
  <c r="O36" i="3"/>
  <c r="O44" i="3"/>
  <c r="O52" i="3"/>
  <c r="O60" i="3"/>
  <c r="O62" i="3"/>
  <c r="O68" i="3"/>
  <c r="O78" i="3"/>
  <c r="F5" i="24"/>
  <c r="G5" i="24"/>
  <c r="H5" i="24"/>
  <c r="O79" i="3"/>
  <c r="F6" i="24"/>
  <c r="G6" i="24"/>
  <c r="H6" i="24"/>
  <c r="O77" i="5"/>
  <c r="O5" i="5"/>
  <c r="O13" i="5"/>
  <c r="O45" i="5"/>
  <c r="P76" i="3"/>
  <c r="P79" i="3"/>
  <c r="P36" i="3"/>
  <c r="P68" i="3"/>
  <c r="P84" i="3"/>
  <c r="P85" i="3"/>
  <c r="C83" i="5"/>
  <c r="D83" i="5"/>
  <c r="C75" i="5"/>
  <c r="D75" i="5"/>
  <c r="C60" i="34"/>
  <c r="D60" i="34"/>
  <c r="P81" i="3"/>
  <c r="Q81" i="3"/>
  <c r="R81" i="3"/>
  <c r="S81" i="3"/>
  <c r="T81" i="3"/>
  <c r="U81" i="3"/>
  <c r="Q92" i="3"/>
  <c r="Q93" i="3"/>
  <c r="P96" i="5"/>
  <c r="C92" i="5"/>
  <c r="D92" i="5"/>
  <c r="Q89" i="3"/>
  <c r="R89" i="3"/>
  <c r="S89" i="3"/>
  <c r="T89" i="3"/>
  <c r="U89" i="3"/>
  <c r="R100" i="3"/>
  <c r="C101" i="5"/>
  <c r="D101" i="5"/>
  <c r="R97" i="3"/>
  <c r="S97" i="3"/>
  <c r="T97" i="3"/>
  <c r="U97" i="3"/>
  <c r="R103" i="5"/>
  <c r="C3" i="26"/>
  <c r="C3" i="6"/>
  <c r="C4" i="26"/>
  <c r="C5" i="26"/>
  <c r="C6" i="26"/>
  <c r="C9" i="26"/>
  <c r="C11" i="5"/>
  <c r="D11" i="5"/>
  <c r="C19" i="5"/>
  <c r="D19" i="5"/>
  <c r="C27" i="5"/>
  <c r="D27" i="5"/>
  <c r="C35" i="5"/>
  <c r="D35" i="5"/>
  <c r="C43" i="5"/>
  <c r="D43" i="5"/>
  <c r="C51" i="5"/>
  <c r="D51" i="5"/>
  <c r="C59" i="5"/>
  <c r="D59" i="5"/>
  <c r="C67" i="5"/>
  <c r="D67" i="5"/>
  <c r="C3" i="5"/>
  <c r="D3" i="5"/>
  <c r="J4" i="32"/>
  <c r="F39" i="32"/>
  <c r="G39" i="32"/>
  <c r="H39" i="32"/>
  <c r="I39" i="32"/>
  <c r="J39" i="32"/>
  <c r="K39" i="32"/>
  <c r="F40" i="32"/>
  <c r="G40" i="32"/>
  <c r="H40" i="32"/>
  <c r="I40" i="32"/>
  <c r="J40" i="32"/>
  <c r="F41" i="32"/>
  <c r="G41" i="32"/>
  <c r="H41" i="32"/>
  <c r="I41" i="32"/>
  <c r="F42" i="32"/>
  <c r="G42" i="32"/>
  <c r="H42" i="32"/>
  <c r="F43" i="32"/>
  <c r="G43" i="32"/>
  <c r="F44" i="32"/>
  <c r="E39" i="32"/>
  <c r="E40" i="32"/>
  <c r="E41" i="32"/>
  <c r="E42" i="32"/>
  <c r="E43" i="32"/>
  <c r="E44" i="32"/>
  <c r="E45" i="32"/>
  <c r="D39" i="32"/>
  <c r="D40" i="32"/>
  <c r="D41" i="32"/>
  <c r="D42" i="32"/>
  <c r="D43" i="32"/>
  <c r="D44" i="32"/>
  <c r="D45" i="32"/>
  <c r="D46" i="32"/>
  <c r="D48" i="32"/>
  <c r="C39" i="32"/>
  <c r="C40" i="32"/>
  <c r="C41" i="32"/>
  <c r="C42" i="32"/>
  <c r="C43" i="32"/>
  <c r="C44" i="32"/>
  <c r="C45" i="32"/>
  <c r="C46" i="32"/>
  <c r="C47" i="32"/>
  <c r="F27" i="32"/>
  <c r="G27" i="32"/>
  <c r="H27" i="32"/>
  <c r="I27" i="32"/>
  <c r="J27" i="32"/>
  <c r="K27" i="32"/>
  <c r="F28" i="32"/>
  <c r="G28" i="32"/>
  <c r="H28" i="32"/>
  <c r="I28" i="32"/>
  <c r="J28" i="32"/>
  <c r="F29" i="32"/>
  <c r="G29" i="32"/>
  <c r="H29" i="32"/>
  <c r="I29" i="32"/>
  <c r="F30" i="32"/>
  <c r="G30" i="32"/>
  <c r="H30" i="32"/>
  <c r="F31" i="32"/>
  <c r="G31" i="32"/>
  <c r="F32" i="32"/>
  <c r="E27" i="32"/>
  <c r="E28" i="32"/>
  <c r="E29" i="32"/>
  <c r="E30" i="32"/>
  <c r="E31" i="32"/>
  <c r="E32" i="32"/>
  <c r="E33" i="32"/>
  <c r="D27" i="32"/>
  <c r="D28" i="32"/>
  <c r="D29" i="32"/>
  <c r="D30" i="32"/>
  <c r="D31" i="32"/>
  <c r="D32" i="32"/>
  <c r="D33" i="32"/>
  <c r="D34" i="32"/>
  <c r="C27" i="32"/>
  <c r="C28" i="32"/>
  <c r="C29" i="32"/>
  <c r="C30" i="32"/>
  <c r="C31" i="32"/>
  <c r="C32" i="32"/>
  <c r="C33" i="32"/>
  <c r="C34" i="32"/>
  <c r="C35" i="32"/>
  <c r="E36" i="32"/>
  <c r="F15" i="32"/>
  <c r="G15" i="32"/>
  <c r="H15" i="32"/>
  <c r="I15" i="32"/>
  <c r="J15" i="32"/>
  <c r="K15" i="32"/>
  <c r="F16" i="32"/>
  <c r="G16" i="32"/>
  <c r="H16" i="32"/>
  <c r="I16" i="32"/>
  <c r="J16" i="32"/>
  <c r="F17" i="32"/>
  <c r="G17" i="32"/>
  <c r="H17" i="32"/>
  <c r="I17" i="32"/>
  <c r="F18" i="32"/>
  <c r="G18" i="32"/>
  <c r="H18" i="32"/>
  <c r="F19" i="32"/>
  <c r="G19" i="32"/>
  <c r="F20" i="32"/>
  <c r="F24" i="32"/>
  <c r="E15" i="32"/>
  <c r="E16" i="32"/>
  <c r="E17" i="32"/>
  <c r="E18" i="32"/>
  <c r="E19" i="32"/>
  <c r="E20" i="32"/>
  <c r="E21" i="32"/>
  <c r="D15" i="32"/>
  <c r="D16" i="32"/>
  <c r="D17" i="32"/>
  <c r="D18" i="32"/>
  <c r="D19" i="32"/>
  <c r="D20" i="32"/>
  <c r="D21" i="32"/>
  <c r="D22" i="32"/>
  <c r="C15" i="32"/>
  <c r="C16" i="32"/>
  <c r="C17" i="32"/>
  <c r="C18" i="32"/>
  <c r="C19" i="32"/>
  <c r="C20" i="32"/>
  <c r="C21" i="32"/>
  <c r="C22" i="32"/>
  <c r="C23" i="32"/>
  <c r="J3" i="32"/>
  <c r="K3" i="32"/>
  <c r="I5" i="32"/>
  <c r="H3" i="32"/>
  <c r="H6" i="32"/>
  <c r="G3" i="32"/>
  <c r="G4" i="32"/>
  <c r="G7" i="32"/>
  <c r="F3" i="32"/>
  <c r="F7" i="32"/>
  <c r="F8" i="32"/>
  <c r="E4" i="32"/>
  <c r="E5" i="32"/>
  <c r="E8" i="32"/>
  <c r="E9" i="32"/>
  <c r="D5" i="32"/>
  <c r="D6" i="32"/>
  <c r="D9" i="32"/>
  <c r="D10" i="32"/>
  <c r="O80" i="3"/>
  <c r="O32" i="3"/>
  <c r="O40" i="3"/>
  <c r="O48" i="3"/>
  <c r="O56" i="3"/>
  <c r="O64" i="3"/>
  <c r="O72" i="3"/>
  <c r="O33" i="3"/>
  <c r="P33" i="3"/>
  <c r="Q33" i="3"/>
  <c r="R33" i="3"/>
  <c r="S33" i="3"/>
  <c r="T33" i="3"/>
  <c r="U33" i="3"/>
  <c r="O41" i="3"/>
  <c r="P41" i="3"/>
  <c r="Q41" i="3"/>
  <c r="R41" i="3"/>
  <c r="S41" i="3"/>
  <c r="T41" i="3"/>
  <c r="U41" i="3"/>
  <c r="O49" i="3"/>
  <c r="P49" i="3"/>
  <c r="Q49" i="3"/>
  <c r="R49" i="3"/>
  <c r="S49" i="3"/>
  <c r="T49" i="3"/>
  <c r="U49" i="3"/>
  <c r="O57" i="3"/>
  <c r="P57" i="3"/>
  <c r="Q57" i="3"/>
  <c r="R57" i="3"/>
  <c r="S57" i="3"/>
  <c r="T57" i="3"/>
  <c r="U57" i="3"/>
  <c r="O65" i="3"/>
  <c r="P65" i="3"/>
  <c r="Q65" i="3"/>
  <c r="R65" i="3"/>
  <c r="S65" i="3"/>
  <c r="T65" i="3"/>
  <c r="U65" i="3"/>
  <c r="O73" i="3"/>
  <c r="C4" i="29"/>
  <c r="C5" i="29"/>
  <c r="C11" i="29"/>
  <c r="C12" i="29"/>
  <c r="P80" i="3"/>
  <c r="P32" i="3"/>
  <c r="P40" i="3"/>
  <c r="P48" i="3"/>
  <c r="P56" i="3"/>
  <c r="P64" i="3"/>
  <c r="P72" i="3"/>
  <c r="P73" i="3"/>
  <c r="Q73" i="3"/>
  <c r="R73" i="3"/>
  <c r="S73" i="3"/>
  <c r="T73" i="3"/>
  <c r="U73" i="3"/>
  <c r="Q80" i="3"/>
  <c r="Q40" i="3"/>
  <c r="Q48" i="3"/>
  <c r="Q56" i="3"/>
  <c r="Q64" i="3"/>
  <c r="Q72" i="3"/>
  <c r="R80" i="3"/>
  <c r="R48" i="3"/>
  <c r="R56" i="3"/>
  <c r="R64" i="3"/>
  <c r="R72" i="3"/>
  <c r="S105" i="3"/>
  <c r="T105" i="3"/>
  <c r="U105" i="3"/>
  <c r="S56" i="3"/>
  <c r="S64" i="3"/>
  <c r="S72" i="3"/>
  <c r="S80" i="3"/>
  <c r="T64" i="3"/>
  <c r="T72" i="3"/>
  <c r="T80" i="3"/>
  <c r="T88" i="3"/>
  <c r="C7" i="6"/>
  <c r="L4" i="18"/>
  <c r="L5" i="18"/>
  <c r="L11" i="18"/>
  <c r="L13" i="18"/>
  <c r="L12" i="18"/>
  <c r="K4" i="18"/>
  <c r="K5" i="18"/>
  <c r="K11" i="18"/>
  <c r="K12" i="18"/>
  <c r="M3" i="25"/>
  <c r="N3" i="25"/>
  <c r="U32" i="3"/>
  <c r="U72" i="3"/>
  <c r="U80" i="3"/>
  <c r="U88" i="3"/>
  <c r="U96" i="3"/>
  <c r="G7" i="12"/>
  <c r="C8" i="12"/>
  <c r="C7" i="12"/>
  <c r="D8" i="12"/>
  <c r="D7" i="12"/>
  <c r="E7" i="12"/>
  <c r="F7" i="12"/>
  <c r="H7" i="12"/>
  <c r="I7" i="12"/>
  <c r="J7" i="12"/>
  <c r="K7" i="12"/>
  <c r="L7" i="12"/>
  <c r="C6" i="12"/>
  <c r="C7" i="18"/>
  <c r="D7" i="18"/>
  <c r="E2" i="6"/>
  <c r="F2" i="6"/>
  <c r="G2" i="6"/>
  <c r="H2" i="6"/>
  <c r="I2" i="6"/>
  <c r="C4" i="18"/>
  <c r="C5" i="18"/>
  <c r="C11" i="18"/>
  <c r="C12" i="18"/>
  <c r="D4" i="18"/>
  <c r="D5" i="18"/>
  <c r="D11" i="18"/>
  <c r="D12" i="18"/>
  <c r="E4" i="18"/>
  <c r="E5" i="18"/>
  <c r="E6" i="18"/>
  <c r="E11" i="18"/>
  <c r="E12" i="18"/>
  <c r="F4" i="18"/>
  <c r="F5" i="18"/>
  <c r="F11" i="18"/>
  <c r="F13" i="18"/>
  <c r="F12" i="18"/>
  <c r="G4" i="18"/>
  <c r="G5" i="18"/>
  <c r="G6" i="18"/>
  <c r="G11" i="18"/>
  <c r="G12" i="18"/>
  <c r="H4" i="18"/>
  <c r="H5" i="18"/>
  <c r="H11" i="18"/>
  <c r="H12" i="18"/>
  <c r="I4" i="18"/>
  <c r="I5" i="18"/>
  <c r="I6" i="18"/>
  <c r="I11" i="18"/>
  <c r="I12" i="18"/>
  <c r="J4" i="18"/>
  <c r="J5" i="18"/>
  <c r="J11" i="18"/>
  <c r="J13" i="18"/>
  <c r="J12" i="18"/>
  <c r="C8" i="25"/>
  <c r="D8" i="25"/>
  <c r="E8" i="25"/>
  <c r="F8" i="25"/>
  <c r="G8" i="25"/>
  <c r="H8" i="25"/>
  <c r="I8" i="25"/>
  <c r="J8" i="25"/>
  <c r="K8" i="25"/>
  <c r="G6" i="32"/>
  <c r="L7" i="25"/>
  <c r="M7" i="25"/>
  <c r="N7" i="25"/>
  <c r="O7" i="25"/>
  <c r="P7" i="25"/>
  <c r="Q7" i="25"/>
  <c r="R7" i="25"/>
  <c r="S7" i="25"/>
  <c r="R6" i="25"/>
  <c r="Q6" i="25"/>
  <c r="P6" i="25"/>
  <c r="O6" i="25"/>
  <c r="N6" i="25"/>
  <c r="M6" i="25"/>
  <c r="L6" i="25"/>
  <c r="K6" i="25"/>
  <c r="J6" i="25"/>
  <c r="I6" i="25"/>
  <c r="H6" i="25"/>
  <c r="G6" i="25"/>
  <c r="F6" i="25"/>
  <c r="E6" i="25"/>
  <c r="D6" i="25"/>
  <c r="C6" i="25"/>
  <c r="L4" i="25"/>
  <c r="K4" i="25"/>
  <c r="J4" i="25"/>
  <c r="I4" i="25"/>
  <c r="H4" i="25"/>
  <c r="G4" i="25"/>
  <c r="F4" i="25"/>
  <c r="E4" i="25"/>
  <c r="D4" i="25"/>
  <c r="C4" i="25"/>
  <c r="C6" i="19"/>
  <c r="E6" i="19"/>
  <c r="E7" i="19"/>
  <c r="E8" i="19"/>
  <c r="E9" i="19"/>
  <c r="E10" i="19"/>
  <c r="E11" i="19"/>
  <c r="E12" i="19"/>
  <c r="E13" i="19"/>
  <c r="E14" i="19"/>
  <c r="E15" i="19"/>
  <c r="E16" i="19"/>
  <c r="E17" i="19"/>
  <c r="C7" i="19"/>
  <c r="C8" i="19"/>
  <c r="C9" i="19"/>
  <c r="C10" i="19"/>
  <c r="C11" i="19"/>
  <c r="C12" i="19"/>
  <c r="C13" i="19"/>
  <c r="C14" i="19"/>
  <c r="C15" i="19"/>
  <c r="C16" i="19"/>
  <c r="C17" i="19"/>
  <c r="E5" i="19"/>
  <c r="C5" i="19"/>
  <c r="F5" i="19"/>
  <c r="F6" i="19"/>
  <c r="F7" i="19"/>
  <c r="D5" i="19"/>
  <c r="I13" i="18"/>
  <c r="H13" i="18"/>
  <c r="G13" i="18"/>
  <c r="E13" i="18"/>
  <c r="D13" i="18"/>
  <c r="C13" i="18"/>
  <c r="D6" i="19"/>
  <c r="D7" i="19"/>
  <c r="D8" i="19"/>
  <c r="Q84" i="3"/>
  <c r="Q85" i="5"/>
  <c r="O47" i="3"/>
  <c r="O46" i="3"/>
  <c r="O63" i="3"/>
  <c r="O31" i="3"/>
  <c r="Q94" i="5"/>
  <c r="Q95" i="3"/>
  <c r="P95" i="5"/>
  <c r="E8" i="12"/>
  <c r="Q76" i="3"/>
  <c r="R76" i="3"/>
  <c r="P87" i="3"/>
  <c r="O61" i="5"/>
  <c r="O30" i="3"/>
  <c r="D9" i="19"/>
  <c r="D10" i="19"/>
  <c r="D11" i="19"/>
  <c r="D12" i="19"/>
  <c r="D13" i="19"/>
  <c r="D14" i="19"/>
  <c r="D15" i="19"/>
  <c r="D16" i="19"/>
  <c r="D17" i="19"/>
  <c r="E48" i="32"/>
  <c r="P85" i="5"/>
  <c r="P86" i="3"/>
  <c r="P77" i="5"/>
  <c r="O29" i="5"/>
  <c r="C6" i="29"/>
  <c r="G8" i="12"/>
  <c r="C58" i="34"/>
  <c r="D58" i="34"/>
  <c r="C54" i="34"/>
  <c r="D54" i="34"/>
  <c r="J6" i="18"/>
  <c r="H6" i="18"/>
  <c r="F6" i="18"/>
  <c r="D6" i="18"/>
  <c r="D8" i="18"/>
  <c r="C6" i="18"/>
  <c r="C8" i="18"/>
  <c r="K13" i="18"/>
  <c r="C9" i="6"/>
  <c r="C13" i="29"/>
  <c r="C53" i="34"/>
  <c r="D53" i="34"/>
  <c r="H8" i="12"/>
  <c r="K8" i="12"/>
  <c r="K6" i="18"/>
  <c r="L6" i="18"/>
  <c r="C10" i="12"/>
  <c r="C15" i="18"/>
  <c r="D69" i="34"/>
  <c r="L8" i="12"/>
  <c r="C57" i="34"/>
  <c r="D57" i="34"/>
  <c r="E7" i="18"/>
  <c r="F7" i="18"/>
  <c r="G7" i="18"/>
  <c r="H7" i="18"/>
  <c r="I7" i="18"/>
  <c r="J7" i="18"/>
  <c r="K7" i="18"/>
  <c r="L7" i="18"/>
  <c r="C7" i="29"/>
  <c r="C8" i="29"/>
  <c r="F8" i="12"/>
  <c r="F8" i="19"/>
  <c r="F9" i="19"/>
  <c r="F10" i="19"/>
  <c r="F11" i="19"/>
  <c r="F12" i="19"/>
  <c r="F13" i="19"/>
  <c r="F14" i="19"/>
  <c r="F15" i="19"/>
  <c r="F16" i="19"/>
  <c r="F17" i="19"/>
  <c r="J8" i="12"/>
  <c r="C24" i="32"/>
  <c r="D24" i="32"/>
  <c r="E24" i="32"/>
  <c r="C48" i="34"/>
  <c r="C36" i="32"/>
  <c r="D36" i="32"/>
  <c r="C56" i="34"/>
  <c r="D56" i="34"/>
  <c r="C7" i="26"/>
  <c r="R101" i="3"/>
  <c r="R102" i="3"/>
  <c r="S100" i="3"/>
  <c r="R103" i="3"/>
  <c r="C36" i="34"/>
  <c r="C48" i="32"/>
  <c r="F48" i="32"/>
  <c r="C59" i="34"/>
  <c r="D59" i="34"/>
  <c r="C52" i="34"/>
  <c r="D52" i="34"/>
  <c r="O86" i="5"/>
  <c r="O87" i="5"/>
  <c r="C24" i="34"/>
  <c r="I8" i="12"/>
  <c r="F36" i="32"/>
  <c r="C51" i="34"/>
  <c r="D51" i="34"/>
  <c r="C55" i="34"/>
  <c r="D55" i="34"/>
  <c r="C8" i="6"/>
  <c r="C12" i="34"/>
  <c r="R92" i="3"/>
  <c r="R95" i="3"/>
  <c r="Q94" i="3"/>
  <c r="P97" i="5"/>
  <c r="P78" i="3"/>
  <c r="O80" i="5"/>
  <c r="P77" i="3"/>
  <c r="O78" i="5"/>
  <c r="G5" i="32"/>
  <c r="G12" i="32"/>
  <c r="I3" i="32"/>
  <c r="E7" i="32"/>
  <c r="D8" i="32"/>
  <c r="E3" i="32"/>
  <c r="D4" i="32"/>
  <c r="O3" i="25"/>
  <c r="P37" i="3"/>
  <c r="P37" i="5"/>
  <c r="P38" i="3"/>
  <c r="Q36" i="3"/>
  <c r="P39" i="3"/>
  <c r="E6" i="32"/>
  <c r="D7" i="32"/>
  <c r="F5" i="32"/>
  <c r="D3" i="32"/>
  <c r="F6" i="32"/>
  <c r="P93" i="5"/>
  <c r="H4" i="32"/>
  <c r="O84" i="5"/>
  <c r="P69" i="3"/>
  <c r="P69" i="5"/>
  <c r="P70" i="3"/>
  <c r="Q68" i="3"/>
  <c r="P71" i="3"/>
  <c r="F4" i="32"/>
  <c r="F12" i="32"/>
  <c r="H5" i="32"/>
  <c r="I4" i="32"/>
  <c r="O53" i="3"/>
  <c r="O54" i="3"/>
  <c r="O53" i="5"/>
  <c r="O55" i="3"/>
  <c r="P52" i="3"/>
  <c r="O21" i="5"/>
  <c r="Q86" i="3"/>
  <c r="Q85" i="3"/>
  <c r="R84" i="3"/>
  <c r="Q87" i="3"/>
  <c r="S101" i="3"/>
  <c r="T100" i="3"/>
  <c r="P5" i="5"/>
  <c r="O69" i="3"/>
  <c r="O71" i="3"/>
  <c r="O70" i="3"/>
  <c r="O69" i="5"/>
  <c r="O37" i="3"/>
  <c r="O39" i="3"/>
  <c r="O38" i="3"/>
  <c r="O37" i="5"/>
  <c r="Q78" i="3"/>
  <c r="O45" i="3"/>
  <c r="P44" i="3"/>
  <c r="P60" i="3"/>
  <c r="O61" i="3"/>
  <c r="P28" i="3"/>
  <c r="O29" i="3"/>
  <c r="R77" i="5"/>
  <c r="R79" i="3"/>
  <c r="R78" i="3"/>
  <c r="Q80" i="5"/>
  <c r="Q77" i="5"/>
  <c r="R94" i="3"/>
  <c r="Q97" i="5"/>
  <c r="Q79" i="3"/>
  <c r="Q77" i="3"/>
  <c r="S92" i="3"/>
  <c r="Q106" i="5"/>
  <c r="O88" i="5"/>
  <c r="R77" i="3"/>
  <c r="S76" i="3"/>
  <c r="S77" i="3"/>
  <c r="H8" i="18"/>
  <c r="P88" i="5"/>
  <c r="H12" i="32"/>
  <c r="L8" i="18"/>
  <c r="K8" i="18"/>
  <c r="J8" i="18"/>
  <c r="T60" i="5"/>
  <c r="P28" i="5"/>
  <c r="Q32" i="3"/>
  <c r="R44" i="5"/>
  <c r="Q36" i="5"/>
  <c r="S52" i="5"/>
  <c r="O20" i="5"/>
  <c r="E8" i="18"/>
  <c r="I8" i="18"/>
  <c r="C16" i="18"/>
  <c r="C18" i="18"/>
  <c r="F8" i="18"/>
  <c r="G8" i="18"/>
  <c r="F13" i="17"/>
  <c r="C8" i="26"/>
  <c r="C4" i="6"/>
  <c r="P80" i="5"/>
  <c r="R94" i="5"/>
  <c r="S102" i="3"/>
  <c r="S103" i="3"/>
  <c r="S103" i="5"/>
  <c r="R93" i="3"/>
  <c r="Q96" i="5"/>
  <c r="O79" i="5"/>
  <c r="E13" i="17"/>
  <c r="D13" i="17"/>
  <c r="Q104" i="5"/>
  <c r="Q105" i="5"/>
  <c r="P47" i="3"/>
  <c r="P45" i="3"/>
  <c r="P46" i="3"/>
  <c r="P45" i="5"/>
  <c r="Q44" i="3"/>
  <c r="O8" i="5"/>
  <c r="R105" i="5"/>
  <c r="R104" i="5"/>
  <c r="P54" i="3"/>
  <c r="Q52" i="3"/>
  <c r="P53" i="3"/>
  <c r="P53" i="5"/>
  <c r="P55" i="3"/>
  <c r="S78" i="3"/>
  <c r="S77" i="5"/>
  <c r="Q39" i="3"/>
  <c r="R36" i="3"/>
  <c r="Q37" i="3"/>
  <c r="Q38" i="3"/>
  <c r="Q37" i="5"/>
  <c r="P31" i="3"/>
  <c r="P29" i="3"/>
  <c r="Q28" i="3"/>
  <c r="P30" i="3"/>
  <c r="P29" i="5"/>
  <c r="O7" i="5"/>
  <c r="O6" i="5"/>
  <c r="Q95" i="5"/>
  <c r="Q71" i="3"/>
  <c r="R68" i="3"/>
  <c r="Q69" i="3"/>
  <c r="Q70" i="3"/>
  <c r="Q69" i="5"/>
  <c r="C61" i="34"/>
  <c r="D61" i="34"/>
  <c r="Q88" i="3"/>
  <c r="S88" i="3"/>
  <c r="P88" i="3"/>
  <c r="R88" i="3"/>
  <c r="D12" i="32"/>
  <c r="O40" i="5"/>
  <c r="R32" i="3"/>
  <c r="T32" i="3"/>
  <c r="E12" i="32"/>
  <c r="P63" i="3"/>
  <c r="P62" i="3"/>
  <c r="P61" i="5"/>
  <c r="P61" i="3"/>
  <c r="Q60" i="3"/>
  <c r="P79" i="5"/>
  <c r="P78" i="5"/>
  <c r="P87" i="5"/>
  <c r="P86" i="5"/>
  <c r="O39" i="5"/>
  <c r="O38" i="5"/>
  <c r="P13" i="5"/>
  <c r="O71" i="5"/>
  <c r="O70" i="5"/>
  <c r="Q96" i="3"/>
  <c r="R96" i="3"/>
  <c r="T96" i="3"/>
  <c r="S96" i="3"/>
  <c r="C62" i="34"/>
  <c r="D62" i="34"/>
  <c r="Q5" i="5"/>
  <c r="S95" i="3"/>
  <c r="S94" i="3"/>
  <c r="T92" i="3"/>
  <c r="S94" i="5"/>
  <c r="S93" i="3"/>
  <c r="T103" i="3"/>
  <c r="T101" i="3"/>
  <c r="U100" i="3"/>
  <c r="T102" i="3"/>
  <c r="T103" i="5"/>
  <c r="R87" i="3"/>
  <c r="R86" i="3"/>
  <c r="R85" i="5"/>
  <c r="S84" i="3"/>
  <c r="R85" i="3"/>
  <c r="P21" i="5"/>
  <c r="Q78" i="5"/>
  <c r="Q79" i="5"/>
  <c r="O72" i="5"/>
  <c r="Q102" i="5"/>
  <c r="P3" i="25"/>
  <c r="I12" i="32"/>
  <c r="S79" i="3"/>
  <c r="T76" i="3"/>
  <c r="O64" i="5"/>
  <c r="O16" i="5"/>
  <c r="R80" i="5"/>
  <c r="P72" i="5"/>
  <c r="S32" i="3"/>
  <c r="G13" i="17"/>
  <c r="C10" i="26"/>
  <c r="R106" i="5"/>
  <c r="E6" i="12"/>
  <c r="E10" i="12"/>
  <c r="D6" i="12"/>
  <c r="D10" i="12"/>
  <c r="O32" i="5"/>
  <c r="F6" i="12"/>
  <c r="F10" i="12"/>
  <c r="S106" i="5"/>
  <c r="P40" i="5"/>
  <c r="O48" i="5"/>
  <c r="Q88" i="5"/>
  <c r="Q21" i="5"/>
  <c r="P24" i="5"/>
  <c r="R95" i="5"/>
  <c r="R96" i="5"/>
  <c r="Q55" i="3"/>
  <c r="Q53" i="5"/>
  <c r="Q53" i="3"/>
  <c r="R52" i="3"/>
  <c r="Q54" i="3"/>
  <c r="P56" i="5"/>
  <c r="O24" i="5"/>
  <c r="U101" i="3"/>
  <c r="U102" i="3"/>
  <c r="U103" i="3"/>
  <c r="P6" i="5"/>
  <c r="P7" i="5"/>
  <c r="O30" i="5"/>
  <c r="O31" i="5"/>
  <c r="P38" i="5"/>
  <c r="P39" i="5"/>
  <c r="Q86" i="5"/>
  <c r="Q87" i="5"/>
  <c r="S105" i="5"/>
  <c r="S104" i="5"/>
  <c r="T94" i="3"/>
  <c r="T95" i="3"/>
  <c r="U92" i="3"/>
  <c r="T94" i="5"/>
  <c r="T93" i="3"/>
  <c r="R5" i="5"/>
  <c r="Q13" i="5"/>
  <c r="O14" i="5"/>
  <c r="O15" i="5"/>
  <c r="Q61" i="3"/>
  <c r="Q62" i="3"/>
  <c r="Q61" i="5"/>
  <c r="R60" i="3"/>
  <c r="Q63" i="3"/>
  <c r="R70" i="3"/>
  <c r="R69" i="5"/>
  <c r="S68" i="3"/>
  <c r="R69" i="3"/>
  <c r="R71" i="3"/>
  <c r="R38" i="3"/>
  <c r="R37" i="5"/>
  <c r="S36" i="3"/>
  <c r="R37" i="3"/>
  <c r="R39" i="3"/>
  <c r="T79" i="3"/>
  <c r="U76" i="3"/>
  <c r="T77" i="3"/>
  <c r="T77" i="5"/>
  <c r="T78" i="3"/>
  <c r="S80" i="5"/>
  <c r="O46" i="5"/>
  <c r="O47" i="5"/>
  <c r="P8" i="5"/>
  <c r="Q29" i="3"/>
  <c r="Q30" i="3"/>
  <c r="Q29" i="5"/>
  <c r="R28" i="3"/>
  <c r="Q31" i="3"/>
  <c r="T40" i="3"/>
  <c r="R40" i="3"/>
  <c r="S40" i="3"/>
  <c r="U40" i="3"/>
  <c r="P70" i="5"/>
  <c r="P71" i="5"/>
  <c r="O56" i="5"/>
  <c r="Q3" i="25"/>
  <c r="C63" i="34"/>
  <c r="D63" i="34"/>
  <c r="S104" i="3"/>
  <c r="R104" i="3"/>
  <c r="T104" i="3"/>
  <c r="U104" i="3"/>
  <c r="O23" i="5"/>
  <c r="O22" i="5"/>
  <c r="S85" i="3"/>
  <c r="S86" i="3"/>
  <c r="S85" i="5"/>
  <c r="T84" i="3"/>
  <c r="S87" i="3"/>
  <c r="R97" i="5"/>
  <c r="O62" i="5"/>
  <c r="O63" i="5"/>
  <c r="R79" i="5"/>
  <c r="R78" i="5"/>
  <c r="O55" i="5"/>
  <c r="O54" i="5"/>
  <c r="Q46" i="3"/>
  <c r="Q45" i="3"/>
  <c r="Q47" i="3"/>
  <c r="Q45" i="5"/>
  <c r="R44" i="3"/>
  <c r="D15" i="18"/>
  <c r="D16" i="18"/>
  <c r="D18" i="18"/>
  <c r="H13" i="17"/>
  <c r="R88" i="5"/>
  <c r="P32" i="5"/>
  <c r="Q40" i="5"/>
  <c r="S71" i="3"/>
  <c r="S69" i="3"/>
  <c r="S69" i="5"/>
  <c r="T68" i="3"/>
  <c r="S70" i="3"/>
  <c r="R72" i="5"/>
  <c r="P62" i="5"/>
  <c r="P63" i="5"/>
  <c r="R87" i="5"/>
  <c r="R86" i="5"/>
  <c r="S79" i="5"/>
  <c r="S78" i="5"/>
  <c r="Q39" i="5"/>
  <c r="Q38" i="5"/>
  <c r="R61" i="3"/>
  <c r="R63" i="3"/>
  <c r="R62" i="3"/>
  <c r="R61" i="5"/>
  <c r="S60" i="3"/>
  <c r="P15" i="5"/>
  <c r="P14" i="5"/>
  <c r="Q8" i="5"/>
  <c r="S96" i="5"/>
  <c r="S95" i="5"/>
  <c r="S97" i="5"/>
  <c r="R21" i="5"/>
  <c r="P46" i="5"/>
  <c r="P47" i="5"/>
  <c r="T85" i="3"/>
  <c r="T86" i="3"/>
  <c r="T85" i="5"/>
  <c r="T87" i="3"/>
  <c r="U84" i="3"/>
  <c r="S48" i="3"/>
  <c r="T48" i="3"/>
  <c r="U48" i="3"/>
  <c r="P30" i="5"/>
  <c r="P31" i="5"/>
  <c r="U79" i="3"/>
  <c r="U77" i="3"/>
  <c r="U78" i="3"/>
  <c r="S39" i="3"/>
  <c r="S38" i="3"/>
  <c r="T36" i="3"/>
  <c r="S37" i="3"/>
  <c r="S37" i="5"/>
  <c r="Q72" i="5"/>
  <c r="Q7" i="5"/>
  <c r="Q6" i="5"/>
  <c r="T106" i="5"/>
  <c r="R53" i="3"/>
  <c r="R54" i="3"/>
  <c r="R53" i="5"/>
  <c r="S52" i="3"/>
  <c r="R55" i="3"/>
  <c r="R45" i="3"/>
  <c r="R47" i="3"/>
  <c r="R46" i="3"/>
  <c r="R45" i="5"/>
  <c r="S44" i="3"/>
  <c r="P48" i="5"/>
  <c r="R3" i="25"/>
  <c r="R31" i="3"/>
  <c r="R29" i="3"/>
  <c r="S28" i="3"/>
  <c r="R29" i="5"/>
  <c r="R30" i="3"/>
  <c r="Q32" i="5"/>
  <c r="Q71" i="5"/>
  <c r="Q70" i="5"/>
  <c r="P64" i="5"/>
  <c r="R13" i="5"/>
  <c r="P16" i="5"/>
  <c r="S5" i="5"/>
  <c r="U94" i="3"/>
  <c r="U93" i="3"/>
  <c r="U95" i="3"/>
  <c r="T105" i="5"/>
  <c r="T104" i="5"/>
  <c r="P55" i="5"/>
  <c r="P54" i="5"/>
  <c r="P23" i="5"/>
  <c r="P22" i="5"/>
  <c r="E15" i="18"/>
  <c r="R40" i="5"/>
  <c r="Q64" i="5"/>
  <c r="Q16" i="5"/>
  <c r="Q56" i="5"/>
  <c r="Q24" i="5"/>
  <c r="I13" i="17"/>
  <c r="G6" i="12"/>
  <c r="G10" i="12"/>
  <c r="T80" i="5"/>
  <c r="U56" i="3"/>
  <c r="T56" i="3"/>
  <c r="S55" i="3"/>
  <c r="S54" i="3"/>
  <c r="S53" i="5"/>
  <c r="S53" i="3"/>
  <c r="T52" i="3"/>
  <c r="S86" i="5"/>
  <c r="S87" i="5"/>
  <c r="R70" i="5"/>
  <c r="R71" i="5"/>
  <c r="R8" i="5"/>
  <c r="Q30" i="5"/>
  <c r="Q31" i="5"/>
  <c r="S45" i="3"/>
  <c r="S46" i="3"/>
  <c r="S45" i="5"/>
  <c r="T44" i="3"/>
  <c r="S47" i="3"/>
  <c r="Q46" i="5"/>
  <c r="Q47" i="5"/>
  <c r="T37" i="3"/>
  <c r="T37" i="5"/>
  <c r="U36" i="3"/>
  <c r="T39" i="3"/>
  <c r="T38" i="3"/>
  <c r="T78" i="5"/>
  <c r="T79" i="5"/>
  <c r="R6" i="5"/>
  <c r="R7" i="5"/>
  <c r="S13" i="5"/>
  <c r="Q15" i="5"/>
  <c r="Q14" i="5"/>
  <c r="S30" i="3"/>
  <c r="S29" i="3"/>
  <c r="T28" i="3"/>
  <c r="S31" i="3"/>
  <c r="S29" i="5"/>
  <c r="R38" i="5"/>
  <c r="R39" i="5"/>
  <c r="U85" i="3"/>
  <c r="U86" i="3"/>
  <c r="U87" i="3"/>
  <c r="Q22" i="5"/>
  <c r="Q23" i="5"/>
  <c r="T96" i="5"/>
  <c r="T95" i="5"/>
  <c r="T5" i="5"/>
  <c r="S21" i="5"/>
  <c r="R24" i="5"/>
  <c r="S62" i="3"/>
  <c r="S61" i="3"/>
  <c r="T60" i="3"/>
  <c r="S61" i="5"/>
  <c r="S63" i="3"/>
  <c r="Q62" i="5"/>
  <c r="Q63" i="5"/>
  <c r="T69" i="3"/>
  <c r="T71" i="3"/>
  <c r="T69" i="5"/>
  <c r="U68" i="3"/>
  <c r="T70" i="3"/>
  <c r="T97" i="5"/>
  <c r="U64" i="3"/>
  <c r="Q48" i="5"/>
  <c r="Q54" i="5"/>
  <c r="Q55" i="5"/>
  <c r="S88" i="5"/>
  <c r="F15" i="18"/>
  <c r="E16" i="18"/>
  <c r="E18" i="18"/>
  <c r="S40" i="5"/>
  <c r="R56" i="5"/>
  <c r="F16" i="18"/>
  <c r="F18" i="18"/>
  <c r="J13" i="17"/>
  <c r="H6" i="12"/>
  <c r="H10" i="12"/>
  <c r="R32" i="5"/>
  <c r="R48" i="5"/>
  <c r="T13" i="5"/>
  <c r="S72" i="5"/>
  <c r="R63" i="5"/>
  <c r="R62" i="5"/>
  <c r="T86" i="5"/>
  <c r="T87" i="5"/>
  <c r="S6" i="5"/>
  <c r="S7" i="5"/>
  <c r="R31" i="5"/>
  <c r="R30" i="5"/>
  <c r="R15" i="5"/>
  <c r="R14" i="5"/>
  <c r="T45" i="3"/>
  <c r="T46" i="3"/>
  <c r="T47" i="3"/>
  <c r="T45" i="5"/>
  <c r="U44" i="3"/>
  <c r="R54" i="5"/>
  <c r="R55" i="5"/>
  <c r="T63" i="3"/>
  <c r="T61" i="3"/>
  <c r="T62" i="3"/>
  <c r="U60" i="3"/>
  <c r="T61" i="5"/>
  <c r="T21" i="5"/>
  <c r="S8" i="5"/>
  <c r="T88" i="5"/>
  <c r="S39" i="5"/>
  <c r="S38" i="5"/>
  <c r="S70" i="5"/>
  <c r="S71" i="5"/>
  <c r="U69" i="3"/>
  <c r="U71" i="3"/>
  <c r="U70" i="3"/>
  <c r="R64" i="5"/>
  <c r="R22" i="5"/>
  <c r="R23" i="5"/>
  <c r="T31" i="3"/>
  <c r="T30" i="3"/>
  <c r="U28" i="3"/>
  <c r="T29" i="3"/>
  <c r="T29" i="5"/>
  <c r="R16" i="5"/>
  <c r="U37" i="3"/>
  <c r="U39" i="3"/>
  <c r="U38" i="3"/>
  <c r="R47" i="5"/>
  <c r="R46" i="5"/>
  <c r="T54" i="3"/>
  <c r="T53" i="5"/>
  <c r="T53" i="3"/>
  <c r="T55" i="3"/>
  <c r="U52" i="3"/>
  <c r="G15" i="18"/>
  <c r="T72" i="5"/>
  <c r="T40" i="5"/>
  <c r="S32" i="5"/>
  <c r="K13" i="17"/>
  <c r="G16" i="18"/>
  <c r="G18" i="18"/>
  <c r="I6" i="12"/>
  <c r="I10" i="12"/>
  <c r="U30" i="3"/>
  <c r="U31" i="3"/>
  <c r="U29" i="3"/>
  <c r="S55" i="5"/>
  <c r="S54" i="5"/>
  <c r="U61" i="3"/>
  <c r="U62" i="3"/>
  <c r="U63" i="3"/>
  <c r="S16" i="5"/>
  <c r="T38" i="5"/>
  <c r="T39" i="5"/>
  <c r="T70" i="5"/>
  <c r="T71" i="5"/>
  <c r="T8" i="5"/>
  <c r="S23" i="5"/>
  <c r="S22" i="5"/>
  <c r="S64" i="5"/>
  <c r="S48" i="5"/>
  <c r="S14" i="5"/>
  <c r="S15" i="5"/>
  <c r="U54" i="3"/>
  <c r="U55" i="3"/>
  <c r="U53" i="3"/>
  <c r="S56" i="5"/>
  <c r="S30" i="5"/>
  <c r="S31" i="5"/>
  <c r="T7" i="5"/>
  <c r="T6" i="5"/>
  <c r="S24" i="5"/>
  <c r="S62" i="5"/>
  <c r="S63" i="5"/>
  <c r="U45" i="3"/>
  <c r="U46" i="3"/>
  <c r="U47" i="3"/>
  <c r="S46" i="5"/>
  <c r="S47" i="5"/>
  <c r="H15" i="18"/>
  <c r="H16" i="18"/>
  <c r="H18" i="18"/>
  <c r="T32" i="5"/>
  <c r="T64" i="5"/>
  <c r="J6" i="12"/>
  <c r="J10" i="12"/>
  <c r="L11" i="17"/>
  <c r="C11" i="26"/>
  <c r="T46" i="5"/>
  <c r="T47" i="5"/>
  <c r="T54" i="5"/>
  <c r="T55" i="5"/>
  <c r="T22" i="5"/>
  <c r="T23" i="5"/>
  <c r="T62" i="5"/>
  <c r="T63" i="5"/>
  <c r="T16" i="5"/>
  <c r="T56" i="5"/>
  <c r="T14" i="5"/>
  <c r="T15" i="5"/>
  <c r="T30" i="5"/>
  <c r="T31" i="5"/>
  <c r="T48" i="5"/>
  <c r="T24" i="5"/>
  <c r="I15" i="18"/>
  <c r="I16" i="18"/>
  <c r="I18" i="18"/>
  <c r="K6" i="12"/>
  <c r="K10" i="12"/>
  <c r="C12" i="26"/>
  <c r="L13" i="17"/>
  <c r="J15" i="18"/>
  <c r="J16" i="18"/>
  <c r="J18" i="18"/>
  <c r="C13" i="26"/>
  <c r="C5" i="6"/>
  <c r="C6" i="6"/>
  <c r="C10" i="6"/>
  <c r="L6" i="12"/>
  <c r="L10" i="12"/>
  <c r="K15" i="18"/>
  <c r="K16" i="18"/>
  <c r="K18" i="18"/>
  <c r="L15" i="18"/>
  <c r="C15" i="29"/>
  <c r="L16" i="18"/>
  <c r="L18" i="18"/>
  <c r="C16" i="29"/>
  <c r="C18" i="29"/>
  <c r="D18" i="29"/>
  <c r="E18" i="29"/>
  <c r="F18" i="29"/>
  <c r="G18" i="29"/>
  <c r="H18" i="29"/>
  <c r="I18" i="29"/>
</calcChain>
</file>

<file path=xl/comments1.xml><?xml version="1.0" encoding="utf-8"?>
<comments xmlns="http://schemas.openxmlformats.org/spreadsheetml/2006/main">
  <authors>
    <author>Mitchell Petersen</author>
  </authors>
  <commentList>
    <comment ref="B12" authorId="0">
      <text>
        <r>
          <rPr>
            <sz val="8"/>
            <color indexed="81"/>
            <rFont val="Tahoma"/>
            <family val="2"/>
          </rPr>
          <t>Cash taxes. Taxes are zero when there are intial losses. The initial losses lower the tax payments in future years. Tax loss carryforwards are calculated in row 11.</t>
        </r>
      </text>
    </comment>
  </commentList>
</comments>
</file>

<file path=xl/comments2.xml><?xml version="1.0" encoding="utf-8"?>
<comments xmlns="http://schemas.openxmlformats.org/spreadsheetml/2006/main">
  <authors>
    <author>Mitchell Petersen</author>
  </authors>
  <commentList>
    <comment ref="A3" authorId="0">
      <text>
        <r>
          <rPr>
            <sz val="9"/>
            <color indexed="81"/>
            <rFont val="Tahoma"/>
            <family val="2"/>
          </rPr>
          <t>Historic CPI: ftp://ftp.bls.gov/pub/special.requests/cpi/cpiai.txt
index is year end (Dec)
Inflation Forecasts: Haver Analytics (IMF web site):
http://www.imf.org/external/pubs/ft/weo/2013/01/weodata/weorept.aspx?sy=2002&amp;ey=2018&amp;scsm=1&amp;ssd=1&amp;sort=country&amp;ds=.&amp;br=1&amp;c=111&amp;s=PCPI%2CPCPIPCH%2CPCPIE%2CPCPIEPCH&amp;grp=0&amp;a=&amp;pr.x=38&amp;pr.y=12#cs1</t>
        </r>
      </text>
    </comment>
    <comment ref="A5" authorId="0">
      <text>
        <r>
          <rPr>
            <sz val="9"/>
            <color indexed="81"/>
            <rFont val="Tahoma"/>
            <family val="2"/>
          </rPr>
          <t>http://www.imf.org/external/pubs/ft/weo/2013/01/weodata/index.aspx
http://www.imf.org/external/pubs/ft/weo/2013/01/weodata/weorept.aspx?sy=2002&amp;ey=2018&amp;ssd=1&amp;sort=country&amp;ds=.&amp;br=1&amp;pr1.x=48&amp;pr1.y=13&amp;c=111&amp;s=NGDP_R%2CNGDP&amp;grp=0&amp;a=</t>
        </r>
      </text>
    </comment>
    <comment ref="A7" authorId="0">
      <text>
        <r>
          <rPr>
            <sz val="9"/>
            <color indexed="81"/>
            <rFont val="Tahoma"/>
            <family val="2"/>
          </rPr>
          <t xml:space="preserve">Historic: http://www.statista.com/statistics/197580/annual-furniture-and-home-furnishings-store-sales-in-the-us-since-1992/
Census Data: https://www.google.com/url?sa=t&amp;rct=j&amp;q=&amp;esrc=s&amp;source=web&amp;cd=1&amp;ved=0CC4QFjAA&amp;url=http%3A%2F%2Fwww2.census.gov%2Fretail%2Freleases%2Fcurrent%2Farts%2Fsales.xls&amp;ei=yMQaUpyREOPl2QXVp4H4BQ&amp;usg=AFQjCNGK-PPTKWeYnT1zmswqvKJgbbEFcw&amp;sig2=4sr54h5WFtrl-f_p-gIHlg&amp;bvm=bv.51156542,d.b2I
Future Growth: http://www.statista.com/statistics/246273/furniture-and-bedding-sales-in-the-us/ (Furniture Today)
</t>
        </r>
      </text>
    </comment>
  </commentList>
</comments>
</file>

<file path=xl/comments3.xml><?xml version="1.0" encoding="utf-8"?>
<comments xmlns="http://schemas.openxmlformats.org/spreadsheetml/2006/main">
  <authors>
    <author>Mitchell Petersen</author>
  </authors>
  <commentList>
    <comment ref="B12" authorId="0">
      <text>
        <r>
          <rPr>
            <sz val="8"/>
            <color indexed="81"/>
            <rFont val="Tahoma"/>
            <family val="2"/>
          </rPr>
          <t>Cash taxes. Taxes are zero when there are intial losses. The initial losses lower the tax payments in future years. Tax loss carryforwards are calculated in row 11.</t>
        </r>
      </text>
    </comment>
  </commentList>
</comments>
</file>

<file path=xl/sharedStrings.xml><?xml version="1.0" encoding="utf-8"?>
<sst xmlns="http://schemas.openxmlformats.org/spreadsheetml/2006/main" count="302" uniqueCount="102">
  <si>
    <t>Sales</t>
  </si>
  <si>
    <t>CGS</t>
  </si>
  <si>
    <t>CGS (% sales)</t>
  </si>
  <si>
    <t>Average</t>
  </si>
  <si>
    <t xml:space="preserve">   Advertising</t>
  </si>
  <si>
    <t>Taxes</t>
  </si>
  <si>
    <t>Parameters:</t>
  </si>
  <si>
    <t>PPE</t>
  </si>
  <si>
    <t xml:space="preserve">   Depreciation</t>
  </si>
  <si>
    <t>Lease (stores)</t>
  </si>
  <si>
    <t>Lease</t>
  </si>
  <si>
    <t>Inventory</t>
  </si>
  <si>
    <t>Depreciation (years)</t>
  </si>
  <si>
    <t xml:space="preserve">  Advertising</t>
  </si>
  <si>
    <t xml:space="preserve">  Depreciation</t>
  </si>
  <si>
    <t>SGA</t>
  </si>
  <si>
    <t xml:space="preserve">     Tax calculation</t>
  </si>
  <si>
    <t xml:space="preserve">     Tax loss carry forwards</t>
  </si>
  <si>
    <t>Net income</t>
  </si>
  <si>
    <t>Furniture sales ($B)</t>
  </si>
  <si>
    <t>Year</t>
  </si>
  <si>
    <t>Sales growth</t>
  </si>
  <si>
    <t>Avg Size</t>
  </si>
  <si>
    <t>Str</t>
  </si>
  <si>
    <t>Sales ($K)</t>
  </si>
  <si>
    <t>Assets</t>
  </si>
  <si>
    <t>Liabilities and Equity</t>
  </si>
  <si>
    <t>Debt</t>
  </si>
  <si>
    <t>Equity</t>
  </si>
  <si>
    <t>SQ FT</t>
  </si>
  <si>
    <t>Total</t>
  </si>
  <si>
    <t>Balance sheet check</t>
  </si>
  <si>
    <t xml:space="preserve"> </t>
  </si>
  <si>
    <t>Nominal</t>
  </si>
  <si>
    <t>Balance sheet check (A=L+E)</t>
  </si>
  <si>
    <t>Asset discount rate</t>
  </si>
  <si>
    <t>Share value</t>
  </si>
  <si>
    <t>Shareholders (#)</t>
  </si>
  <si>
    <t>Shares outstanding (K)</t>
  </si>
  <si>
    <t xml:space="preserve">  - Costs</t>
  </si>
  <si>
    <t xml:space="preserve">  - Taxes</t>
  </si>
  <si>
    <t xml:space="preserve">  + Depreciation</t>
  </si>
  <si>
    <t xml:space="preserve">  - Increase in NWC</t>
  </si>
  <si>
    <t>Stores</t>
  </si>
  <si>
    <t>Opened</t>
  </si>
  <si>
    <t>GDP (T$)</t>
  </si>
  <si>
    <t xml:space="preserve">   Inflation (CPI)</t>
  </si>
  <si>
    <t xml:space="preserve">   Furniture sales growth</t>
  </si>
  <si>
    <t>CAPEX</t>
  </si>
  <si>
    <t>Accts Rcvble</t>
  </si>
  <si>
    <t>Accts Pble</t>
  </si>
  <si>
    <t>Accr Exp</t>
  </si>
  <si>
    <t>#</t>
  </si>
  <si>
    <t xml:space="preserve">Lease </t>
  </si>
  <si>
    <t>Lease inflation</t>
  </si>
  <si>
    <t>Advertising</t>
  </si>
  <si>
    <t>Construction costs</t>
  </si>
  <si>
    <t>Real</t>
  </si>
  <si>
    <t>Refresh cost</t>
  </si>
  <si>
    <t>Exhibit 8: Forecasting Sales Revenue and Costs</t>
  </si>
  <si>
    <t>Exhibit 9: Forecasting Investment</t>
  </si>
  <si>
    <t>Exhibit 10: Forecasting Parameters</t>
  </si>
  <si>
    <t>Discount rate</t>
  </si>
  <si>
    <t>Cost of goods sold</t>
  </si>
  <si>
    <t>Selling, general and admin</t>
  </si>
  <si>
    <t>Corporate expenses</t>
  </si>
  <si>
    <t>Corporate tax rate</t>
  </si>
  <si>
    <t>SGA (% sales, excluding dep &amp; advertising)</t>
  </si>
  <si>
    <t>Inventory (% next year's CGS)</t>
  </si>
  <si>
    <t xml:space="preserve">Exhibit 7: Teuer Furniture Cash Flow Assets </t>
  </si>
  <si>
    <t xml:space="preserve">Exhibit 6: Teuer Furniture Balance Sheet for Individual Showrooms </t>
  </si>
  <si>
    <t xml:space="preserve">Exhibit 5: Teuer Furniture Income Statement for Individual Showrooms </t>
  </si>
  <si>
    <t>Exhibit 4: Economic Indicators: GDP and Furniture Sales Growth</t>
  </si>
  <si>
    <t>Exhibit 3: Teuer Furniture Balance Sheet</t>
  </si>
  <si>
    <t>Exhibit 2: Teuer Furniture Income Statement</t>
  </si>
  <si>
    <t>Lease rate (2012)</t>
  </si>
  <si>
    <t xml:space="preserve">  - Capital expenditure</t>
  </si>
  <si>
    <t xml:space="preserve">Teuer Furniture Pro Forma Cash Flow Assets </t>
  </si>
  <si>
    <t>Teuer Furniture Pro Forma Balance Sheet</t>
  </si>
  <si>
    <t>Teuer Furniture Pro Forma Income Statement</t>
  </si>
  <si>
    <t>SGA (excl adv &amp; dep)</t>
  </si>
  <si>
    <t>Advertising (% sales)</t>
  </si>
  <si>
    <t>Accounts receivable (% sales)</t>
  </si>
  <si>
    <t>Accounts payable (% next year's CGS)</t>
  </si>
  <si>
    <t>Accrued expenses (next year's SGA adv)</t>
  </si>
  <si>
    <t>Long-term growth rate</t>
  </si>
  <si>
    <t>Accrued expenses</t>
  </si>
  <si>
    <t>Accounts payable</t>
  </si>
  <si>
    <t>Accounts receivable</t>
  </si>
  <si>
    <t>Cash flow to assets</t>
  </si>
  <si>
    <t>Corp expense (incl lease/adv)</t>
  </si>
  <si>
    <t xml:space="preserve">    Total current assets</t>
  </si>
  <si>
    <t xml:space="preserve">    Total assets</t>
  </si>
  <si>
    <t xml:space="preserve">    Total current liabilities </t>
  </si>
  <si>
    <t xml:space="preserve">    Total liabilities and equity</t>
  </si>
  <si>
    <t>Cash flow assets</t>
  </si>
  <si>
    <t>Terminal value</t>
  </si>
  <si>
    <t>Asset value</t>
  </si>
  <si>
    <t>CPI index</t>
  </si>
  <si>
    <t xml:space="preserve">   GDP growth </t>
  </si>
  <si>
    <t>Corporate expense</t>
  </si>
  <si>
    <t>Exhibit 1: Teuer Furniture Showrooms and Square Footage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</si>
</sst>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_);_(* \(#,##0\);_(* &quot;-&quot;??_);_(@_)"/>
    <numFmt numFmtId="165" formatCode="0.0%"/>
    <numFmt numFmtId="166" formatCode="0.0"/>
    <numFmt numFmtId="167" formatCode="#,##0.0"/>
    <numFmt numFmtId="168" formatCode="0.000"/>
    <numFmt numFmtId="169" formatCode="_(* #,##0.0_);_(* \(#,##0.0\);_(* &quot;-&quot;??_);_(@_)"/>
    <numFmt numFmtId="170" formatCode="0.0_);\(0.0\)"/>
    <numFmt numFmtId="171" formatCode="#,##0.0\x"/>
    <numFmt numFmtId="172" formatCode="#,##0.0000"/>
  </numFmts>
  <fonts count="21" x14ac:knownFonts="1">
    <font>
      <sz val="11"/>
      <color theme="1"/>
      <name val="Calibri"/>
      <family val="2"/>
      <scheme val="minor"/>
    </font>
    <font>
      <sz val="11"/>
      <color theme="1"/>
      <name val="Calibri"/>
      <family val="2"/>
      <scheme val="minor"/>
    </font>
    <font>
      <i/>
      <sz val="11"/>
      <color theme="1"/>
      <name val="Calibri"/>
      <family val="2"/>
      <scheme val="minor"/>
    </font>
    <font>
      <sz val="8"/>
      <color indexed="81"/>
      <name val="Tahoma"/>
      <family val="2"/>
    </font>
    <font>
      <b/>
      <sz val="14"/>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0"/>
      <color theme="1"/>
      <name val="Arial"/>
      <family val="2"/>
    </font>
    <font>
      <sz val="9"/>
      <color indexed="81"/>
      <name val="Tahoma"/>
      <family val="2"/>
    </font>
    <font>
      <sz val="11"/>
      <color rgb="FF000000"/>
      <name val="Calibri"/>
      <family val="2"/>
      <scheme val="minor"/>
    </font>
    <font>
      <b/>
      <sz val="12"/>
      <color theme="1"/>
      <name val="Calibri"/>
      <family val="2"/>
      <scheme val="minor"/>
    </font>
    <font>
      <sz val="11"/>
      <color rgb="FF0000FF"/>
      <name val="Calibri"/>
      <family val="2"/>
      <scheme val="minor"/>
    </font>
    <font>
      <sz val="11"/>
      <name val="Calibri"/>
      <family val="2"/>
      <scheme val="minor"/>
    </font>
    <font>
      <sz val="10"/>
      <color rgb="FF0000FF"/>
      <name val="Calibri"/>
      <family val="2"/>
      <scheme val="minor"/>
    </font>
    <font>
      <sz val="8"/>
      <color theme="1"/>
      <name val="Calibri"/>
      <family val="2"/>
      <scheme val="minor"/>
    </font>
    <font>
      <i/>
      <sz val="8"/>
      <color theme="1"/>
      <name val="Calibri"/>
      <family val="2"/>
      <scheme val="minor"/>
    </font>
    <font>
      <sz val="8"/>
      <color rgb="FF0000FF"/>
      <name val="Calibri"/>
      <family val="2"/>
      <scheme val="minor"/>
    </font>
    <font>
      <sz val="8"/>
      <name val="Calibri"/>
      <family val="2"/>
      <scheme val="minor"/>
    </font>
    <font>
      <sz val="11"/>
      <color indexed="12"/>
      <name val="Calibri"/>
      <family val="2"/>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right/>
      <top style="hair">
        <color auto="1"/>
      </top>
      <bottom/>
      <diagonal/>
    </border>
  </borders>
  <cellStyleXfs count="5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5">
    <xf numFmtId="0" fontId="0" fillId="0" borderId="0" xfId="0"/>
    <xf numFmtId="164" fontId="0" fillId="0" borderId="0" xfId="1" applyNumberFormat="1" applyFont="1"/>
    <xf numFmtId="164" fontId="0" fillId="0" borderId="0" xfId="0" applyNumberFormat="1"/>
    <xf numFmtId="9" fontId="0" fillId="0" borderId="0" xfId="2" applyFont="1"/>
    <xf numFmtId="0" fontId="0" fillId="0" borderId="1" xfId="0" applyBorder="1"/>
    <xf numFmtId="9" fontId="0" fillId="0" borderId="0" xfId="0" applyNumberFormat="1"/>
    <xf numFmtId="165" fontId="0" fillId="0" borderId="0" xfId="2" applyNumberFormat="1" applyFont="1"/>
    <xf numFmtId="3" fontId="0" fillId="0" borderId="0" xfId="1" applyNumberFormat="1" applyFont="1"/>
    <xf numFmtId="3" fontId="0" fillId="0" borderId="0" xfId="0" applyNumberFormat="1"/>
    <xf numFmtId="166" fontId="0" fillId="0" borderId="0" xfId="0" applyNumberFormat="1"/>
    <xf numFmtId="0" fontId="2" fillId="0" borderId="1" xfId="0" applyFont="1" applyBorder="1"/>
    <xf numFmtId="0" fontId="0" fillId="0" borderId="0" xfId="0" applyBorder="1"/>
    <xf numFmtId="0" fontId="4" fillId="0" borderId="0" xfId="0" applyFont="1"/>
    <xf numFmtId="3" fontId="0" fillId="0" borderId="1" xfId="0" applyNumberFormat="1" applyBorder="1"/>
    <xf numFmtId="0" fontId="5" fillId="0" borderId="0" xfId="0" applyFont="1"/>
    <xf numFmtId="3" fontId="5" fillId="0" borderId="0" xfId="0" applyNumberFormat="1" applyFont="1"/>
    <xf numFmtId="3" fontId="0" fillId="0" borderId="0" xfId="0" applyNumberFormat="1" applyBorder="1"/>
    <xf numFmtId="0" fontId="0" fillId="0" borderId="0" xfId="0" quotePrefix="1"/>
    <xf numFmtId="43" fontId="0" fillId="0" borderId="0" xfId="1" applyFont="1"/>
    <xf numFmtId="3" fontId="6" fillId="0" borderId="0" xfId="0" applyNumberFormat="1" applyFont="1"/>
    <xf numFmtId="164" fontId="5" fillId="0" borderId="0" xfId="1" applyNumberFormat="1" applyFont="1"/>
    <xf numFmtId="0" fontId="9" fillId="0" borderId="0" xfId="0" applyFont="1"/>
    <xf numFmtId="0" fontId="0" fillId="0" borderId="0" xfId="0" applyFont="1"/>
    <xf numFmtId="166" fontId="0" fillId="0" borderId="0" xfId="0" applyNumberFormat="1" applyFont="1"/>
    <xf numFmtId="3" fontId="0" fillId="0" borderId="0" xfId="0" applyNumberFormat="1" applyFont="1" applyBorder="1"/>
    <xf numFmtId="3" fontId="0" fillId="0" borderId="0" xfId="0" applyNumberFormat="1" applyFont="1"/>
    <xf numFmtId="167" fontId="0" fillId="0" borderId="0" xfId="0" applyNumberFormat="1" applyFont="1"/>
    <xf numFmtId="10" fontId="0" fillId="0" borderId="0" xfId="0" applyNumberFormat="1"/>
    <xf numFmtId="10" fontId="0" fillId="0" borderId="0" xfId="0" applyNumberFormat="1" applyFont="1"/>
    <xf numFmtId="165" fontId="1" fillId="0" borderId="0" xfId="2" applyNumberFormat="1" applyFont="1"/>
    <xf numFmtId="169" fontId="0" fillId="0" borderId="0" xfId="1" applyNumberFormat="1" applyFont="1"/>
    <xf numFmtId="0" fontId="0" fillId="0" borderId="1" xfId="0" applyFont="1" applyBorder="1"/>
    <xf numFmtId="0" fontId="6" fillId="0" borderId="0" xfId="0" applyFont="1"/>
    <xf numFmtId="10" fontId="1" fillId="0" borderId="0" xfId="2" applyNumberFormat="1" applyFont="1"/>
    <xf numFmtId="10" fontId="1" fillId="0" borderId="0" xfId="2" applyNumberFormat="1" applyFont="1" applyAlignment="1">
      <alignment horizontal="right"/>
    </xf>
    <xf numFmtId="165" fontId="1" fillId="0" borderId="0" xfId="2" applyNumberFormat="1" applyFont="1" applyAlignment="1">
      <alignment horizontal="right"/>
    </xf>
    <xf numFmtId="170" fontId="0" fillId="0" borderId="0" xfId="1" applyNumberFormat="1" applyFont="1"/>
    <xf numFmtId="0" fontId="11" fillId="0" borderId="0" xfId="0" applyFont="1"/>
    <xf numFmtId="165" fontId="0" fillId="0" borderId="0" xfId="0" applyNumberFormat="1" applyAlignment="1">
      <alignment horizontal="right"/>
    </xf>
    <xf numFmtId="165" fontId="0" fillId="0" borderId="0" xfId="0" applyNumberFormat="1"/>
    <xf numFmtId="0" fontId="2" fillId="0" borderId="0" xfId="0" applyFont="1" applyBorder="1"/>
    <xf numFmtId="0" fontId="12" fillId="0" borderId="0" xfId="0" applyFont="1"/>
    <xf numFmtId="2" fontId="0" fillId="0" borderId="0" xfId="0" applyNumberFormat="1"/>
    <xf numFmtId="9" fontId="0" fillId="0" borderId="0" xfId="2" applyNumberFormat="1" applyFont="1"/>
    <xf numFmtId="171" fontId="0" fillId="0" borderId="0" xfId="0" applyNumberFormat="1"/>
    <xf numFmtId="168" fontId="0" fillId="0" borderId="0" xfId="0" applyNumberFormat="1"/>
    <xf numFmtId="3" fontId="13" fillId="0" borderId="0" xfId="1" applyNumberFormat="1" applyFont="1"/>
    <xf numFmtId="3" fontId="13" fillId="0" borderId="1" xfId="1" applyNumberFormat="1" applyFont="1" applyBorder="1"/>
    <xf numFmtId="0" fontId="13" fillId="0" borderId="0" xfId="0" applyFont="1"/>
    <xf numFmtId="3" fontId="13" fillId="0" borderId="1" xfId="0" applyNumberFormat="1" applyFont="1" applyBorder="1"/>
    <xf numFmtId="3" fontId="14" fillId="0" borderId="0" xfId="1" applyNumberFormat="1" applyFont="1"/>
    <xf numFmtId="3" fontId="14" fillId="0" borderId="1" xfId="1" applyNumberFormat="1" applyFont="1" applyBorder="1"/>
    <xf numFmtId="3" fontId="14" fillId="0" borderId="0" xfId="0" applyNumberFormat="1" applyFont="1"/>
    <xf numFmtId="164" fontId="14" fillId="0" borderId="0" xfId="0" applyNumberFormat="1" applyFont="1"/>
    <xf numFmtId="3" fontId="14" fillId="0" borderId="1" xfId="0" applyNumberFormat="1" applyFont="1" applyBorder="1"/>
    <xf numFmtId="164" fontId="15" fillId="0" borderId="0" xfId="1" applyNumberFormat="1" applyFont="1"/>
    <xf numFmtId="3" fontId="0" fillId="0" borderId="0" xfId="2" applyNumberFormat="1" applyFont="1"/>
    <xf numFmtId="164" fontId="14" fillId="0" borderId="0" xfId="1" applyNumberFormat="1" applyFont="1"/>
    <xf numFmtId="3" fontId="13" fillId="0" borderId="0" xfId="0" applyNumberFormat="1" applyFont="1"/>
    <xf numFmtId="0" fontId="0" fillId="0" borderId="0" xfId="0" applyFill="1" applyBorder="1"/>
    <xf numFmtId="9" fontId="13" fillId="0" borderId="0" xfId="0" applyNumberFormat="1" applyFont="1"/>
    <xf numFmtId="0" fontId="2" fillId="0" borderId="0" xfId="0" applyFont="1"/>
    <xf numFmtId="0" fontId="14" fillId="0" borderId="0" xfId="0" applyFont="1"/>
    <xf numFmtId="0" fontId="0" fillId="0" borderId="0" xfId="0" applyAlignment="1">
      <alignment horizontal="center"/>
    </xf>
    <xf numFmtId="0" fontId="0" fillId="0" borderId="0" xfId="0" applyAlignment="1"/>
    <xf numFmtId="3" fontId="0" fillId="0" borderId="0" xfId="0" applyNumberFormat="1" applyAlignment="1"/>
    <xf numFmtId="165" fontId="13" fillId="0" borderId="0" xfId="2" applyNumberFormat="1" applyFont="1"/>
    <xf numFmtId="9" fontId="13" fillId="0" borderId="0" xfId="2" applyNumberFormat="1" applyFont="1"/>
    <xf numFmtId="166" fontId="13" fillId="0" borderId="0" xfId="0" applyNumberFormat="1" applyFont="1"/>
    <xf numFmtId="167" fontId="13" fillId="0" borderId="0" xfId="0" applyNumberFormat="1" applyFont="1"/>
    <xf numFmtId="3" fontId="13" fillId="2" borderId="0" xfId="0" applyNumberFormat="1" applyFont="1" applyFill="1" applyBorder="1" applyAlignment="1">
      <alignment horizontal="right" vertical="center"/>
    </xf>
    <xf numFmtId="165" fontId="13" fillId="0" borderId="0" xfId="0" applyNumberFormat="1" applyFont="1"/>
    <xf numFmtId="0" fontId="0" fillId="0" borderId="0" xfId="0" applyAlignment="1">
      <alignment horizontal="right"/>
    </xf>
    <xf numFmtId="0" fontId="16" fillId="0" borderId="0" xfId="0" applyFont="1"/>
    <xf numFmtId="0" fontId="16" fillId="0" borderId="1" xfId="0" applyFont="1" applyBorder="1"/>
    <xf numFmtId="0" fontId="17" fillId="0" borderId="1" xfId="0" applyFont="1" applyBorder="1"/>
    <xf numFmtId="0" fontId="16" fillId="0" borderId="0" xfId="0" applyFont="1" applyAlignment="1">
      <alignment horizontal="left"/>
    </xf>
    <xf numFmtId="3" fontId="18" fillId="0" borderId="0" xfId="0" applyNumberFormat="1" applyFont="1"/>
    <xf numFmtId="3" fontId="16" fillId="0" borderId="0" xfId="0" applyNumberFormat="1" applyFont="1"/>
    <xf numFmtId="0" fontId="16" fillId="0" borderId="2" xfId="0" applyFont="1" applyBorder="1"/>
    <xf numFmtId="0" fontId="18" fillId="0" borderId="2" xfId="0" applyFont="1" applyBorder="1"/>
    <xf numFmtId="3" fontId="18" fillId="0" borderId="2" xfId="0" applyNumberFormat="1" applyFont="1" applyBorder="1"/>
    <xf numFmtId="3" fontId="16" fillId="0" borderId="0" xfId="1" applyNumberFormat="1" applyFont="1"/>
    <xf numFmtId="3" fontId="18" fillId="0" borderId="0" xfId="1" applyNumberFormat="1" applyFont="1"/>
    <xf numFmtId="3" fontId="16" fillId="0" borderId="2" xfId="0" applyNumberFormat="1" applyFont="1" applyBorder="1"/>
    <xf numFmtId="3" fontId="19" fillId="0" borderId="0" xfId="1" applyNumberFormat="1" applyFont="1"/>
    <xf numFmtId="166" fontId="16" fillId="0" borderId="0" xfId="0" applyNumberFormat="1" applyFont="1"/>
    <xf numFmtId="2" fontId="16" fillId="0" borderId="0" xfId="0" applyNumberFormat="1" applyFont="1"/>
    <xf numFmtId="172" fontId="16" fillId="0" borderId="0" xfId="1" applyNumberFormat="1" applyFont="1"/>
    <xf numFmtId="0" fontId="16" fillId="0" borderId="2" xfId="0" applyFont="1" applyBorder="1" applyAlignment="1">
      <alignment horizontal="left"/>
    </xf>
    <xf numFmtId="0" fontId="16" fillId="0" borderId="0" xfId="0" applyFont="1" applyAlignment="1">
      <alignment horizontal="center"/>
    </xf>
    <xf numFmtId="0" fontId="0" fillId="0" borderId="1" xfId="0" applyBorder="1" applyAlignment="1">
      <alignment horizontal="right"/>
    </xf>
    <xf numFmtId="3" fontId="16" fillId="0" borderId="0" xfId="1" applyNumberFormat="1" applyFont="1" applyBorder="1"/>
    <xf numFmtId="3" fontId="18" fillId="0" borderId="0" xfId="1" applyNumberFormat="1" applyFont="1" applyBorder="1"/>
    <xf numFmtId="0" fontId="11" fillId="0" borderId="0" xfId="0" applyFont="1" applyAlignment="1">
      <alignment horizontal="right"/>
    </xf>
    <xf numFmtId="165" fontId="0" fillId="0" borderId="1" xfId="2" applyNumberFormat="1" applyFont="1" applyBorder="1"/>
    <xf numFmtId="0" fontId="11" fillId="0" borderId="1" xfId="0" applyFont="1" applyBorder="1" applyAlignment="1">
      <alignment horizontal="right"/>
    </xf>
    <xf numFmtId="165" fontId="0" fillId="0" borderId="1" xfId="0" applyNumberFormat="1" applyBorder="1"/>
    <xf numFmtId="165" fontId="1" fillId="0" borderId="1" xfId="2" applyNumberFormat="1" applyFont="1" applyBorder="1" applyAlignment="1">
      <alignment horizontal="right"/>
    </xf>
    <xf numFmtId="1" fontId="0" fillId="0" borderId="0" xfId="0" applyNumberFormat="1" applyFont="1"/>
    <xf numFmtId="165" fontId="20" fillId="0" borderId="0" xfId="2" applyNumberFormat="1" applyFont="1"/>
    <xf numFmtId="165" fontId="20" fillId="0" borderId="0" xfId="0" applyNumberFormat="1" applyFont="1"/>
    <xf numFmtId="1" fontId="20" fillId="0" borderId="0" xfId="2" applyNumberFormat="1" applyFont="1"/>
    <xf numFmtId="167" fontId="16" fillId="0" borderId="0" xfId="0" applyNumberFormat="1" applyFont="1"/>
    <xf numFmtId="9" fontId="20" fillId="0" borderId="0" xfId="2" applyFont="1"/>
  </cellXfs>
  <cellStyles count="55">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v>Number of Showrooms</c:v>
          </c:tx>
          <c:spPr>
            <a:ln w="28575">
              <a:noFill/>
            </a:ln>
          </c:spPr>
          <c:xVal>
            <c:numRef>
              <c:f>'Exh 1 Stores'!$B$5:$B$17</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xVal>
          <c:yVal>
            <c:numRef>
              <c:f>'Exh 1 Stores'!$D$5:$D$17</c:f>
              <c:numCache>
                <c:formatCode>General</c:formatCode>
                <c:ptCount val="13"/>
                <c:pt idx="0">
                  <c:v>1</c:v>
                </c:pt>
                <c:pt idx="1">
                  <c:v>4</c:v>
                </c:pt>
                <c:pt idx="2">
                  <c:v>8</c:v>
                </c:pt>
                <c:pt idx="3">
                  <c:v>13</c:v>
                </c:pt>
                <c:pt idx="4">
                  <c:v>19</c:v>
                </c:pt>
                <c:pt idx="5">
                  <c:v>21</c:v>
                </c:pt>
                <c:pt idx="6">
                  <c:v>22</c:v>
                </c:pt>
                <c:pt idx="7">
                  <c:v>24</c:v>
                </c:pt>
                <c:pt idx="8">
                  <c:v>26</c:v>
                </c:pt>
                <c:pt idx="9">
                  <c:v>29</c:v>
                </c:pt>
                <c:pt idx="10">
                  <c:v>31</c:v>
                </c:pt>
                <c:pt idx="11">
                  <c:v>33</c:v>
                </c:pt>
                <c:pt idx="12">
                  <c:v>35</c:v>
                </c:pt>
              </c:numCache>
            </c:numRef>
          </c:yVal>
          <c:smooth val="0"/>
        </c:ser>
        <c:dLbls>
          <c:showLegendKey val="0"/>
          <c:showVal val="0"/>
          <c:showCatName val="0"/>
          <c:showSerName val="0"/>
          <c:showPercent val="0"/>
          <c:showBubbleSize val="0"/>
        </c:dLbls>
        <c:axId val="169173760"/>
        <c:axId val="169185280"/>
      </c:scatterChart>
      <c:scatterChart>
        <c:scatterStyle val="lineMarker"/>
        <c:varyColors val="0"/>
        <c:ser>
          <c:idx val="2"/>
          <c:order val="1"/>
          <c:tx>
            <c:v>Total Square Feet</c:v>
          </c:tx>
          <c:spPr>
            <a:ln w="28575">
              <a:solidFill>
                <a:srgbClr val="002060"/>
              </a:solidFill>
            </a:ln>
          </c:spPr>
          <c:marker>
            <c:symbol val="none"/>
          </c:marker>
          <c:xVal>
            <c:numRef>
              <c:f>'Exh 1 Stores'!$B$5:$B$17</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xVal>
          <c:yVal>
            <c:numRef>
              <c:f>'Exh 1 Stores'!$F$5:$F$17</c:f>
              <c:numCache>
                <c:formatCode>#,##0</c:formatCode>
                <c:ptCount val="13"/>
                <c:pt idx="0">
                  <c:v>17200</c:v>
                </c:pt>
                <c:pt idx="1">
                  <c:v>70000</c:v>
                </c:pt>
                <c:pt idx="2">
                  <c:v>144000</c:v>
                </c:pt>
                <c:pt idx="3">
                  <c:v>249500</c:v>
                </c:pt>
                <c:pt idx="4">
                  <c:v>382100</c:v>
                </c:pt>
                <c:pt idx="5">
                  <c:v>413100</c:v>
                </c:pt>
                <c:pt idx="6">
                  <c:v>427600</c:v>
                </c:pt>
                <c:pt idx="7">
                  <c:v>457000</c:v>
                </c:pt>
                <c:pt idx="8">
                  <c:v>487800</c:v>
                </c:pt>
                <c:pt idx="9">
                  <c:v>536700</c:v>
                </c:pt>
                <c:pt idx="10">
                  <c:v>568700</c:v>
                </c:pt>
                <c:pt idx="11">
                  <c:v>600700</c:v>
                </c:pt>
                <c:pt idx="12">
                  <c:v>630700</c:v>
                </c:pt>
              </c:numCache>
            </c:numRef>
          </c:yVal>
          <c:smooth val="0"/>
        </c:ser>
        <c:dLbls>
          <c:showLegendKey val="0"/>
          <c:showVal val="0"/>
          <c:showCatName val="0"/>
          <c:showSerName val="0"/>
          <c:showPercent val="0"/>
          <c:showBubbleSize val="0"/>
        </c:dLbls>
        <c:axId val="169206528"/>
        <c:axId val="169187584"/>
      </c:scatterChart>
      <c:valAx>
        <c:axId val="169173760"/>
        <c:scaling>
          <c:orientation val="minMax"/>
          <c:max val="2015"/>
          <c:min val="2003"/>
        </c:scaling>
        <c:delete val="0"/>
        <c:axPos val="b"/>
        <c:numFmt formatCode="General" sourceLinked="1"/>
        <c:majorTickMark val="out"/>
        <c:minorTickMark val="none"/>
        <c:tickLblPos val="nextTo"/>
        <c:crossAx val="169185280"/>
        <c:crosses val="autoZero"/>
        <c:crossBetween val="midCat"/>
      </c:valAx>
      <c:valAx>
        <c:axId val="169185280"/>
        <c:scaling>
          <c:orientation val="minMax"/>
        </c:scaling>
        <c:delete val="0"/>
        <c:axPos val="l"/>
        <c:majorGridlines/>
        <c:numFmt formatCode="General" sourceLinked="1"/>
        <c:majorTickMark val="out"/>
        <c:minorTickMark val="none"/>
        <c:tickLblPos val="nextTo"/>
        <c:crossAx val="169173760"/>
        <c:crosses val="autoZero"/>
        <c:crossBetween val="midCat"/>
      </c:valAx>
      <c:valAx>
        <c:axId val="169187584"/>
        <c:scaling>
          <c:orientation val="minMax"/>
        </c:scaling>
        <c:delete val="0"/>
        <c:axPos val="r"/>
        <c:numFmt formatCode="#,##0" sourceLinked="0"/>
        <c:majorTickMark val="out"/>
        <c:minorTickMark val="none"/>
        <c:tickLblPos val="nextTo"/>
        <c:crossAx val="169206528"/>
        <c:crosses val="max"/>
        <c:crossBetween val="midCat"/>
      </c:valAx>
      <c:valAx>
        <c:axId val="169206528"/>
        <c:scaling>
          <c:orientation val="minMax"/>
        </c:scaling>
        <c:delete val="1"/>
        <c:axPos val="b"/>
        <c:numFmt formatCode="General" sourceLinked="1"/>
        <c:majorTickMark val="out"/>
        <c:minorTickMark val="none"/>
        <c:tickLblPos val="nextTo"/>
        <c:crossAx val="169187584"/>
        <c:crosses val="autoZero"/>
        <c:crossBetween val="midCat"/>
      </c:valAx>
    </c:plotArea>
    <c:legend>
      <c:legendPos val="b"/>
      <c:layout/>
      <c:overlay val="0"/>
      <c:spPr>
        <a:ln>
          <a:noFill/>
        </a:ln>
      </c:sp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3"/>
          <c:order val="0"/>
          <c:tx>
            <c:v>GDP Growth</c:v>
          </c:tx>
          <c:spPr>
            <a:ln w="28575">
              <a:solidFill>
                <a:srgbClr val="FF0000"/>
              </a:solidFill>
            </a:ln>
          </c:spPr>
          <c:marker>
            <c:symbol val="diamond"/>
            <c:size val="7"/>
            <c:spPr>
              <a:solidFill>
                <a:srgbClr val="FF0000"/>
              </a:solidFill>
              <a:ln>
                <a:solidFill>
                  <a:srgbClr val="FF0000"/>
                </a:solidFill>
              </a:ln>
            </c:spPr>
          </c:marker>
          <c:xVal>
            <c:numRef>
              <c:f>'Exh 4 Econ Indicators'!$C$2:$R$2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'Exh 4 Econ Indicators'!$C$6:$R$6</c:f>
              <c:numCache>
                <c:formatCode>0.0%</c:formatCode>
                <c:ptCount val="16"/>
                <c:pt idx="0">
                  <c:v>4.6975277900453971E-2</c:v>
                </c:pt>
                <c:pt idx="1">
                  <c:v>6.3813556089560075E-2</c:v>
                </c:pt>
                <c:pt idx="2">
                  <c:v>6.4935777107544501E-2</c:v>
                </c:pt>
                <c:pt idx="3">
                  <c:v>5.9752276607290655E-2</c:v>
                </c:pt>
                <c:pt idx="4">
                  <c:v>4.870040068175685E-2</c:v>
                </c:pt>
                <c:pt idx="5">
                  <c:v>1.8738405444562733E-2</c:v>
                </c:pt>
                <c:pt idx="6">
                  <c:v>-2.2243913361391865E-2</c:v>
                </c:pt>
                <c:pt idx="7">
                  <c:v>3.7590393347479045E-2</c:v>
                </c:pt>
                <c:pt idx="8">
                  <c:v>3.9778811187725971E-2</c:v>
                </c:pt>
                <c:pt idx="9">
                  <c:v>4.0401176066743316E-2</c:v>
                </c:pt>
                <c:pt idx="10">
                  <c:v>3.5256921532061281E-2</c:v>
                </c:pt>
                <c:pt idx="11">
                  <c:v>4.996266107377223E-2</c:v>
                </c:pt>
                <c:pt idx="12">
                  <c:v>5.6493429214464985E-2</c:v>
                </c:pt>
                <c:pt idx="13">
                  <c:v>5.5980104579205436E-2</c:v>
                </c:pt>
                <c:pt idx="14">
                  <c:v>5.5592571155693049E-2</c:v>
                </c:pt>
                <c:pt idx="15">
                  <c:v>5.0974434189059892E-2</c:v>
                </c:pt>
              </c:numCache>
            </c:numRef>
          </c:yVal>
          <c:smooth val="0"/>
        </c:ser>
        <c:ser>
          <c:idx val="9"/>
          <c:order val="1"/>
          <c:tx>
            <c:v>Furniture Sales Growth</c:v>
          </c:tx>
          <c:spPr>
            <a:ln w="28575">
              <a:solidFill>
                <a:srgbClr val="002060"/>
              </a:solidFill>
            </a:ln>
          </c:spPr>
          <c:marker>
            <c:symbol val="none"/>
          </c:marker>
          <c:xVal>
            <c:numRef>
              <c:f>'Exh 4 Econ Indicators'!$C$2:$R$2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'Exh 4 Econ Indicators'!$C$8:$R$8</c:f>
              <c:numCache>
                <c:formatCode>0.0%</c:formatCode>
                <c:ptCount val="16"/>
                <c:pt idx="0">
                  <c:v>2.4354087251164724E-2</c:v>
                </c:pt>
                <c:pt idx="1">
                  <c:v>7.2565639859416997E-2</c:v>
                </c:pt>
                <c:pt idx="2">
                  <c:v>5.1657671549730111E-2</c:v>
                </c:pt>
                <c:pt idx="3">
                  <c:v>3.3724340175953049E-2</c:v>
                </c:pt>
                <c:pt idx="4">
                  <c:v>-1.4716312056737513E-2</c:v>
                </c:pt>
                <c:pt idx="5">
                  <c:v>-0.10419290984344065</c:v>
                </c:pt>
                <c:pt idx="6">
                  <c:v>-0.13358778625954193</c:v>
                </c:pt>
                <c:pt idx="7">
                  <c:v>1.1940644562949299E-2</c:v>
                </c:pt>
                <c:pt idx="8">
                  <c:v>3.1847863443693392E-2</c:v>
                </c:pt>
                <c:pt idx="9">
                  <c:v>3.4000000000000002E-2</c:v>
                </c:pt>
                <c:pt idx="10">
                  <c:v>0.03</c:v>
                </c:pt>
                <c:pt idx="11">
                  <c:v>2.9000000000000001E-2</c:v>
                </c:pt>
                <c:pt idx="12">
                  <c:v>2.8000000000000001E-2</c:v>
                </c:pt>
                <c:pt idx="13">
                  <c:v>2.7E-2</c:v>
                </c:pt>
                <c:pt idx="14">
                  <c:v>2.5999999999999999E-2</c:v>
                </c:pt>
                <c:pt idx="15">
                  <c:v>2.5000000000000001E-2</c:v>
                </c:pt>
              </c:numCache>
            </c:numRef>
          </c:yVal>
          <c:smooth val="0"/>
        </c:ser>
        <c:ser>
          <c:idx val="1"/>
          <c:order val="2"/>
          <c:tx>
            <c:v>Inflation (CPI)</c:v>
          </c:tx>
          <c:spPr>
            <a:ln w="28575">
              <a:noFill/>
            </a:ln>
          </c:spPr>
          <c:marker>
            <c:symbol val="square"/>
            <c:size val="5"/>
            <c:spPr>
              <a:solidFill>
                <a:srgbClr val="00B050"/>
              </a:solidFill>
              <a:ln>
                <a:solidFill>
                  <a:srgbClr val="00B050"/>
                </a:solidFill>
              </a:ln>
            </c:spPr>
          </c:marker>
          <c:xVal>
            <c:numRef>
              <c:f>'Exh 4 Econ Indicators'!$C$2:$R$2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'Exh 4 Econ Indicators'!$C$4:$R$4</c:f>
              <c:numCache>
                <c:formatCode>0.0%</c:formatCode>
                <c:ptCount val="16"/>
                <c:pt idx="0">
                  <c:v>1.8794914317302513E-2</c:v>
                </c:pt>
                <c:pt idx="1">
                  <c:v>3.255561584373301E-2</c:v>
                </c:pt>
                <c:pt idx="2">
                  <c:v>3.4156594850236477E-2</c:v>
                </c:pt>
                <c:pt idx="3">
                  <c:v>2.5406504065040636E-2</c:v>
                </c:pt>
                <c:pt idx="4">
                  <c:v>4.0812685827551931E-2</c:v>
                </c:pt>
                <c:pt idx="5">
                  <c:v>9.1412900645604367E-4</c:v>
                </c:pt>
                <c:pt idx="6">
                  <c:v>2.7213311262058282E-2</c:v>
                </c:pt>
                <c:pt idx="7">
                  <c:v>1.4957235273143077E-2</c:v>
                </c:pt>
                <c:pt idx="8">
                  <c:v>2.9624188448710953E-2</c:v>
                </c:pt>
                <c:pt idx="9">
                  <c:v>1.7410223687475579E-2</c:v>
                </c:pt>
                <c:pt idx="10">
                  <c:v>1.6799999999999999E-2</c:v>
                </c:pt>
                <c:pt idx="11">
                  <c:v>1.8100000000000002E-2</c:v>
                </c:pt>
                <c:pt idx="12">
                  <c:v>1.9400000000000001E-2</c:v>
                </c:pt>
                <c:pt idx="13">
                  <c:v>2.1100000000000001E-2</c:v>
                </c:pt>
                <c:pt idx="14">
                  <c:v>2.2599999999999999E-2</c:v>
                </c:pt>
                <c:pt idx="15">
                  <c:v>2.2700000000000001E-2</c:v>
                </c:pt>
              </c:numCache>
            </c:numRef>
          </c:yVal>
          <c:smooth val="0"/>
        </c:ser>
        <c:dLbls>
          <c:showLegendKey val="0"/>
          <c:showVal val="0"/>
          <c:showCatName val="0"/>
          <c:showSerName val="0"/>
          <c:showPercent val="0"/>
          <c:showBubbleSize val="0"/>
        </c:dLbls>
        <c:axId val="185239040"/>
        <c:axId val="185240960"/>
      </c:scatterChart>
      <c:valAx>
        <c:axId val="185239040"/>
        <c:scaling>
          <c:orientation val="minMax"/>
          <c:max val="2018"/>
          <c:min val="2003"/>
        </c:scaling>
        <c:delete val="0"/>
        <c:axPos val="b"/>
        <c:numFmt formatCode="General" sourceLinked="1"/>
        <c:majorTickMark val="out"/>
        <c:minorTickMark val="none"/>
        <c:tickLblPos val="nextTo"/>
        <c:crossAx val="185240960"/>
        <c:crosses val="autoZero"/>
        <c:crossBetween val="midCat"/>
      </c:valAx>
      <c:valAx>
        <c:axId val="185240960"/>
        <c:scaling>
          <c:orientation val="minMax"/>
        </c:scaling>
        <c:delete val="0"/>
        <c:axPos val="l"/>
        <c:majorGridlines/>
        <c:numFmt formatCode="0.0%" sourceLinked="1"/>
        <c:majorTickMark val="out"/>
        <c:minorTickMark val="none"/>
        <c:tickLblPos val="nextTo"/>
        <c:crossAx val="185239040"/>
        <c:crosses val="autoZero"/>
        <c:crossBetween val="midCat"/>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514350</xdr:colOff>
      <xdr:row>1</xdr:row>
      <xdr:rowOff>152400</xdr:rowOff>
    </xdr:from>
    <xdr:to>
      <xdr:col>9</xdr:col>
      <xdr:colOff>9525</xdr:colOff>
      <xdr:row>19</xdr:row>
      <xdr:rowOff>47625</xdr:rowOff>
    </xdr:to>
    <xdr:sp macro="" textlink="">
      <xdr:nvSpPr>
        <xdr:cNvPr id="2" name="Text Box 1"/>
        <xdr:cNvSpPr txBox="1">
          <a:spLocks noChangeArrowheads="1"/>
        </xdr:cNvSpPr>
      </xdr:nvSpPr>
      <xdr:spPr bwMode="auto">
        <a:xfrm>
          <a:off x="514350" y="342900"/>
          <a:ext cx="4981575" cy="3324225"/>
        </a:xfrm>
        <a:prstGeom prst="rect">
          <a:avLst/>
        </a:prstGeom>
        <a:solidFill>
          <a:srgbClr val="FFFFFF"/>
        </a:solidFill>
        <a:ln w="9525">
          <a:solidFill>
            <a:srgbClr val="000000"/>
          </a:solidFill>
          <a:miter lim="800000"/>
          <a:headEnd/>
          <a:tailEnd/>
        </a:ln>
      </xdr:spPr>
      <xdr:txBody>
        <a:bodyPr vertOverflow="clip" wrap="square" lIns="91440" tIns="91440" rIns="91440" bIns="9144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r>
            <a:rPr lang="en-US" sz="1000" b="0" i="0" u="none" strike="noStrike" baseline="0">
              <a:solidFill>
                <a:srgbClr val="000000"/>
              </a:solidFill>
              <a:latin typeface="Arial"/>
              <a:cs typeface="Arial"/>
            </a:rPr>
            <a:t>These spreadsheet exhibits relate to the case </a:t>
          </a:r>
          <a:r>
            <a:rPr lang="en-US" sz="1000" b="0" i="1">
              <a:effectLst/>
              <a:latin typeface="Arial" panose="020B0604020202020204" pitchFamily="34" charset="0"/>
              <a:ea typeface="+mn-ea"/>
              <a:cs typeface="Arial" panose="020B0604020202020204" pitchFamily="34" charset="0"/>
            </a:rPr>
            <a:t>Teuer Furniture (A): Discounted Cash Flow Valuation</a:t>
          </a:r>
          <a:r>
            <a:rPr lang="en-US" sz="1000" b="0" i="0">
              <a:effectLst/>
              <a:latin typeface="Arial" panose="020B0604020202020204" pitchFamily="34" charset="0"/>
              <a:ea typeface="+mn-ea"/>
              <a:cs typeface="Arial" panose="020B0604020202020204" pitchFamily="34" charset="0"/>
            </a:rPr>
            <a:t>,</a:t>
          </a:r>
          <a:r>
            <a:rPr lang="en-US" sz="1000" b="0" i="0" u="none" strike="noStrike" baseline="0">
              <a:solidFill>
                <a:srgbClr val="000000"/>
              </a:solidFill>
              <a:latin typeface="Arial"/>
              <a:cs typeface="Arial"/>
            </a:rPr>
            <a:t> Case #</a:t>
          </a:r>
          <a:r>
            <a:rPr lang="en-US" sz="1000" b="0" cap="all">
              <a:effectLst/>
              <a:latin typeface="Arial" panose="020B0604020202020204" pitchFamily="34" charset="0"/>
              <a:ea typeface="+mn-ea"/>
              <a:cs typeface="Arial" panose="020B0604020202020204" pitchFamily="34" charset="0"/>
            </a:rPr>
            <a:t>5-313-509(A)</a:t>
          </a:r>
          <a:r>
            <a:rPr lang="en-US" sz="1000" b="0" i="0" u="none" strike="noStrike" baseline="0">
              <a:solidFill>
                <a:srgbClr val="000000"/>
              </a:solidFill>
              <a:latin typeface="Arial"/>
              <a:cs typeface="Arial"/>
            </a:rPr>
            <a:t>.</a:t>
          </a:r>
        </a:p>
        <a:p>
          <a:pPr algn="l" rtl="0">
            <a:defRPr sz="1000"/>
          </a:pPr>
          <a:endParaRPr lang="en-US" sz="1000" b="0" i="0" u="none" strike="noStrike" baseline="0">
            <a:solidFill>
              <a:srgbClr val="000000"/>
            </a:solidFill>
            <a:latin typeface="Arial"/>
            <a:cs typeface="Arial"/>
          </a:endParaRPr>
        </a:p>
        <a:p>
          <a:r>
            <a:rPr lang="en-US" sz="1000" u="none">
              <a:effectLst/>
              <a:latin typeface="Arial" panose="020B0604020202020204" pitchFamily="34" charset="0"/>
              <a:ea typeface="+mn-ea"/>
              <a:cs typeface="Arial" panose="020B0604020202020204" pitchFamily="34" charset="0"/>
            </a:rPr>
            <a:t>©2013 by the Kellogg School of Management at Northwestern University. This case was prepared by Professor Mitchell A. Petersen. Teuer Furniture is a fictional company whose profile was created based on data from real industry leaders. Cases are developed solely as the basis for class discussion. Cases are not intended to serve as endorsements, sources of primary data, or illustrations of effective or ineffective management. To order copies or request permission to reproduce materials, call 847.491.5400 or e-mail cases@kellogg.northwestern.edu. No part of this publication may be reproduced, stored in a retrieval system, used in a spreadsheet, or transmitted in any form or by any means—electronic, mechanical, photocopying, recording, or otherwise—without the permission of Kellogg Case Publishing.</a:t>
          </a:r>
        </a:p>
      </xdr:txBody>
    </xdr:sp>
    <xdr:clientData/>
  </xdr:twoCellAnchor>
  <xdr:twoCellAnchor editAs="oneCell">
    <xdr:from>
      <xdr:col>0</xdr:col>
      <xdr:colOff>552450</xdr:colOff>
      <xdr:row>2</xdr:row>
      <xdr:rowOff>28575</xdr:rowOff>
    </xdr:from>
    <xdr:to>
      <xdr:col>5</xdr:col>
      <xdr:colOff>276225</xdr:colOff>
      <xdr:row>6</xdr:row>
      <xdr:rowOff>38100</xdr:rowOff>
    </xdr:to>
    <xdr:pic>
      <xdr:nvPicPr>
        <xdr:cNvPr id="4" name="Picture 2" descr="Kellogg_logo_01_300dpi_b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409575"/>
          <a:ext cx="2771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314325</xdr:colOff>
      <xdr:row>4</xdr:row>
      <xdr:rowOff>23812</xdr:rowOff>
    </xdr:from>
    <xdr:to>
      <xdr:col>15</xdr:col>
      <xdr:colOff>9525</xdr:colOff>
      <xdr:row>18</xdr:row>
      <xdr:rowOff>100012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9</xdr:row>
      <xdr:rowOff>109537</xdr:rowOff>
    </xdr:from>
    <xdr:to>
      <xdr:col>12</xdr:col>
      <xdr:colOff>352425</xdr:colOff>
      <xdr:row>29</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RowHeight="15" x14ac:dyDescent="0.25"/>
  <cols>
    <col min="3" max="6" width="9.140625" style="64"/>
  </cols>
  <sheetData>
    <row r="1" spans="1:7" ht="18.75" x14ac:dyDescent="0.3">
      <c r="A1" s="12" t="s">
        <v>101</v>
      </c>
    </row>
    <row r="2" spans="1:7" ht="18.75" x14ac:dyDescent="0.3">
      <c r="A2" s="12"/>
    </row>
    <row r="3" spans="1:7" x14ac:dyDescent="0.25">
      <c r="C3" s="63" t="s">
        <v>43</v>
      </c>
      <c r="D3" s="63" t="s">
        <v>30</v>
      </c>
      <c r="E3" s="63" t="s">
        <v>29</v>
      </c>
      <c r="F3" s="63" t="s">
        <v>30</v>
      </c>
    </row>
    <row r="4" spans="1:7" x14ac:dyDescent="0.25">
      <c r="C4" s="63" t="s">
        <v>44</v>
      </c>
      <c r="D4" s="63" t="s">
        <v>43</v>
      </c>
      <c r="E4" s="63" t="s">
        <v>44</v>
      </c>
      <c r="F4" s="63" t="s">
        <v>29</v>
      </c>
      <c r="G4" t="s">
        <v>32</v>
      </c>
    </row>
    <row r="5" spans="1:7" x14ac:dyDescent="0.25">
      <c r="B5">
        <v>2003</v>
      </c>
      <c r="C5" s="64">
        <f>VLOOKUP($B5,'Exh 5 Stores IS'!$A$3:$D$99,3,FALSE)</f>
        <v>1</v>
      </c>
      <c r="D5" s="64">
        <f>C5</f>
        <v>1</v>
      </c>
      <c r="E5" s="65">
        <f>VLOOKUP($B5,'Exh 5 Stores IS'!$A$3:$D$99,4,FALSE)</f>
        <v>17200</v>
      </c>
      <c r="F5" s="65">
        <f>C5*E5</f>
        <v>17200</v>
      </c>
    </row>
    <row r="6" spans="1:7" x14ac:dyDescent="0.25">
      <c r="B6">
        <v>2004</v>
      </c>
      <c r="C6" s="64">
        <f>VLOOKUP($B6,'Exh 5 Stores IS'!$A$3:$D$99,3,FALSE)</f>
        <v>3</v>
      </c>
      <c r="D6" s="64">
        <f>D5+C6</f>
        <v>4</v>
      </c>
      <c r="E6" s="65">
        <f>VLOOKUP($B6,'Exh 5 Stores IS'!$A$3:$D$99,4,FALSE)</f>
        <v>17600</v>
      </c>
      <c r="F6" s="65">
        <f>F5+C6*E6</f>
        <v>70000</v>
      </c>
      <c r="G6" s="9"/>
    </row>
    <row r="7" spans="1:7" x14ac:dyDescent="0.25">
      <c r="B7">
        <v>2005</v>
      </c>
      <c r="C7" s="64">
        <f>VLOOKUP($B7,'Exh 5 Stores IS'!$A$3:$D$99,3,FALSE)</f>
        <v>4</v>
      </c>
      <c r="D7" s="64">
        <f t="shared" ref="D7:D17" si="0">D6+C7</f>
        <v>8</v>
      </c>
      <c r="E7" s="65">
        <f>VLOOKUP($B7,'Exh 5 Stores IS'!$A$3:$D$99,4,FALSE)</f>
        <v>18500</v>
      </c>
      <c r="F7" s="65">
        <f t="shared" ref="F7:F17" si="1">F6+C7*E7</f>
        <v>144000</v>
      </c>
      <c r="G7" s="9"/>
    </row>
    <row r="8" spans="1:7" x14ac:dyDescent="0.25">
      <c r="B8">
        <v>2006</v>
      </c>
      <c r="C8" s="64">
        <f>VLOOKUP($B8,'Exh 5 Stores IS'!$A$3:$D$99,3,FALSE)</f>
        <v>5</v>
      </c>
      <c r="D8" s="64">
        <f t="shared" si="0"/>
        <v>13</v>
      </c>
      <c r="E8" s="65">
        <f>VLOOKUP($B8,'Exh 5 Stores IS'!$A$3:$D$99,4,FALSE)</f>
        <v>21100</v>
      </c>
      <c r="F8" s="65">
        <f t="shared" si="1"/>
        <v>249500</v>
      </c>
      <c r="G8" s="9"/>
    </row>
    <row r="9" spans="1:7" x14ac:dyDescent="0.25">
      <c r="B9">
        <v>2007</v>
      </c>
      <c r="C9" s="64">
        <f>VLOOKUP($B9,'Exh 5 Stores IS'!$A$3:$D$99,3,FALSE)</f>
        <v>6</v>
      </c>
      <c r="D9" s="64">
        <f t="shared" si="0"/>
        <v>19</v>
      </c>
      <c r="E9" s="65">
        <f>VLOOKUP($B9,'Exh 5 Stores IS'!$A$3:$D$99,4,FALSE)</f>
        <v>22100</v>
      </c>
      <c r="F9" s="65">
        <f t="shared" si="1"/>
        <v>382100</v>
      </c>
      <c r="G9" s="9"/>
    </row>
    <row r="10" spans="1:7" x14ac:dyDescent="0.25">
      <c r="B10">
        <v>2008</v>
      </c>
      <c r="C10" s="64">
        <f>VLOOKUP($B10,'Exh 5 Stores IS'!$A$3:$D$99,3,FALSE)</f>
        <v>2</v>
      </c>
      <c r="D10" s="64">
        <f t="shared" si="0"/>
        <v>21</v>
      </c>
      <c r="E10" s="65">
        <f>VLOOKUP($B10,'Exh 5 Stores IS'!$A$3:$D$99,4,FALSE)</f>
        <v>15500</v>
      </c>
      <c r="F10" s="65">
        <f t="shared" si="1"/>
        <v>413100</v>
      </c>
      <c r="G10" s="9"/>
    </row>
    <row r="11" spans="1:7" x14ac:dyDescent="0.25">
      <c r="B11">
        <v>2009</v>
      </c>
      <c r="C11" s="64">
        <f>VLOOKUP($B11,'Exh 5 Stores IS'!$A$3:$D$99,3,FALSE)</f>
        <v>1</v>
      </c>
      <c r="D11" s="64">
        <f t="shared" si="0"/>
        <v>22</v>
      </c>
      <c r="E11" s="65">
        <f>VLOOKUP($B11,'Exh 5 Stores IS'!$A$3:$D$99,4,FALSE)</f>
        <v>14500</v>
      </c>
      <c r="F11" s="65">
        <f t="shared" si="1"/>
        <v>427600</v>
      </c>
      <c r="G11" s="9"/>
    </row>
    <row r="12" spans="1:7" x14ac:dyDescent="0.25">
      <c r="B12">
        <v>2010</v>
      </c>
      <c r="C12" s="64">
        <f>VLOOKUP($B12,'Exh 5 Stores IS'!$A$3:$D$99,3,FALSE)</f>
        <v>2</v>
      </c>
      <c r="D12" s="64">
        <f t="shared" si="0"/>
        <v>24</v>
      </c>
      <c r="E12" s="65">
        <f>VLOOKUP($B12,'Exh 5 Stores IS'!$A$3:$D$99,4,FALSE)</f>
        <v>14700</v>
      </c>
      <c r="F12" s="65">
        <f t="shared" si="1"/>
        <v>457000</v>
      </c>
      <c r="G12" s="9"/>
    </row>
    <row r="13" spans="1:7" x14ac:dyDescent="0.25">
      <c r="B13">
        <v>2011</v>
      </c>
      <c r="C13" s="64">
        <f>VLOOKUP($B13,'Exh 5 Stores IS'!$A$3:$D$99,3,FALSE)</f>
        <v>2</v>
      </c>
      <c r="D13" s="64">
        <f t="shared" si="0"/>
        <v>26</v>
      </c>
      <c r="E13" s="65">
        <f>VLOOKUP($B13,'Exh 5 Stores IS'!$A$3:$D$99,4,FALSE)</f>
        <v>15400</v>
      </c>
      <c r="F13" s="65">
        <f t="shared" si="1"/>
        <v>487800</v>
      </c>
      <c r="G13" s="9"/>
    </row>
    <row r="14" spans="1:7" x14ac:dyDescent="0.25">
      <c r="B14">
        <v>2012</v>
      </c>
      <c r="C14" s="64">
        <f>VLOOKUP($B14,'Exh 5 Stores IS'!$A$3:$D$99,3,FALSE)</f>
        <v>3</v>
      </c>
      <c r="D14" s="64">
        <f t="shared" si="0"/>
        <v>29</v>
      </c>
      <c r="E14" s="65">
        <f>VLOOKUP($B14,'Exh 5 Stores IS'!$A$3:$D$99,4,FALSE)</f>
        <v>16300</v>
      </c>
      <c r="F14" s="65">
        <f t="shared" si="1"/>
        <v>536700</v>
      </c>
      <c r="G14" s="9"/>
    </row>
    <row r="15" spans="1:7" x14ac:dyDescent="0.25">
      <c r="B15">
        <v>2013</v>
      </c>
      <c r="C15" s="64">
        <f>VLOOKUP($B15,'Exh 5 Stores IS'!$A$3:$D$99,3,FALSE)</f>
        <v>2</v>
      </c>
      <c r="D15" s="64">
        <f t="shared" si="0"/>
        <v>31</v>
      </c>
      <c r="E15" s="65">
        <f>VLOOKUP($B15,'Exh 5 Stores IS'!$A$3:$D$99,4,FALSE)</f>
        <v>16000</v>
      </c>
      <c r="F15" s="65">
        <f t="shared" si="1"/>
        <v>568700</v>
      </c>
      <c r="G15" s="9"/>
    </row>
    <row r="16" spans="1:7" x14ac:dyDescent="0.25">
      <c r="B16">
        <v>2014</v>
      </c>
      <c r="C16" s="64">
        <f>VLOOKUP($B16,'Exh 5 Stores IS'!$A$3:$D$99,3,FALSE)</f>
        <v>2</v>
      </c>
      <c r="D16" s="64">
        <f t="shared" si="0"/>
        <v>33</v>
      </c>
      <c r="E16" s="65">
        <f>VLOOKUP($B16,'Exh 5 Stores IS'!$A$3:$D$99,4,FALSE)</f>
        <v>16000</v>
      </c>
      <c r="F16" s="65">
        <f t="shared" si="1"/>
        <v>600700</v>
      </c>
      <c r="G16" s="9"/>
    </row>
    <row r="17" spans="2:7" x14ac:dyDescent="0.25">
      <c r="B17">
        <v>2015</v>
      </c>
      <c r="C17" s="64">
        <f>VLOOKUP($B17,'Exh 5 Stores IS'!$A$3:$D$99,3,FALSE)</f>
        <v>2</v>
      </c>
      <c r="D17" s="64">
        <f t="shared" si="0"/>
        <v>35</v>
      </c>
      <c r="E17" s="65">
        <f>VLOOKUP($B17,'Exh 5 Stores IS'!$A$3:$D$99,4,FALSE)</f>
        <v>15000</v>
      </c>
      <c r="F17" s="65">
        <f t="shared" si="1"/>
        <v>630700</v>
      </c>
      <c r="G17" s="9"/>
    </row>
    <row r="18" spans="2:7" x14ac:dyDescent="0.25">
      <c r="G18" s="9"/>
    </row>
    <row r="32" spans="2:7" ht="14.25"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workbookViewId="0"/>
  </sheetViews>
  <sheetFormatPr defaultColWidth="8.85546875" defaultRowHeight="15" x14ac:dyDescent="0.25"/>
  <cols>
    <col min="1" max="1" width="5.7109375" customWidth="1"/>
    <col min="2" max="2" width="25.7109375" customWidth="1"/>
    <col min="3" max="12" width="9.140625" customWidth="1"/>
  </cols>
  <sheetData>
    <row r="1" spans="1:14" ht="18.75" x14ac:dyDescent="0.3">
      <c r="A1" s="12" t="s">
        <v>74</v>
      </c>
    </row>
    <row r="2" spans="1:14" ht="15" customHeight="1" x14ac:dyDescent="0.25">
      <c r="C2" s="4">
        <v>2003</v>
      </c>
      <c r="D2" s="4">
        <v>2004</v>
      </c>
      <c r="E2" s="4">
        <v>2005</v>
      </c>
      <c r="F2" s="4">
        <v>2006</v>
      </c>
      <c r="G2" s="4">
        <v>2007</v>
      </c>
      <c r="H2" s="4">
        <v>2008</v>
      </c>
      <c r="I2" s="4">
        <v>2009</v>
      </c>
      <c r="J2" s="4">
        <v>2010</v>
      </c>
      <c r="K2" s="4">
        <v>2011</v>
      </c>
      <c r="L2" s="4">
        <v>2012</v>
      </c>
    </row>
    <row r="3" spans="1:14" ht="15" customHeight="1" x14ac:dyDescent="0.25">
      <c r="B3" t="s">
        <v>0</v>
      </c>
      <c r="D3" s="50">
        <f>+('Exh 5 Stores IS'!F4+'Exh 5 Stores IS'!F12+'Exh 5 Stores IS'!F20+'Exh 5 Stores IS'!F28+'Exh 5 Stores IS'!F36+'Exh 5 Stores IS'!F44+'Exh 5 Stores IS'!F52+'Exh 5 Stores IS'!F60+'Exh 5 Stores IS'!F68+'Exh 5 Stores IS'!F76+'Exh 5 Stores IS'!F84+'Exh 5 Stores IS'!F92+'Exh 5 Stores IS'!F100)</f>
        <v>2056.5</v>
      </c>
      <c r="E3" s="50">
        <f>+('Exh 5 Stores IS'!G4+'Exh 5 Stores IS'!G12+'Exh 5 Stores IS'!G20+'Exh 5 Stores IS'!G28+'Exh 5 Stores IS'!G36+'Exh 5 Stores IS'!G44+'Exh 5 Stores IS'!G52+'Exh 5 Stores IS'!G60+'Exh 5 Stores IS'!G68+'Exh 5 Stores IS'!G76+'Exh 5 Stores IS'!G84+'Exh 5 Stores IS'!G92+'Exh 5 Stores IS'!G100)</f>
        <v>10415</v>
      </c>
      <c r="F3" s="50">
        <f>+('Exh 5 Stores IS'!H4+'Exh 5 Stores IS'!H12+'Exh 5 Stores IS'!H20+'Exh 5 Stores IS'!H28+'Exh 5 Stores IS'!H36+'Exh 5 Stores IS'!H44+'Exh 5 Stores IS'!H52+'Exh 5 Stores IS'!H60+'Exh 5 Stores IS'!H68+'Exh 5 Stores IS'!H76+'Exh 5 Stores IS'!H84+'Exh 5 Stores IS'!H92+'Exh 5 Stores IS'!H100)</f>
        <v>26700.600000000002</v>
      </c>
      <c r="G3" s="50">
        <f>+('Exh 5 Stores IS'!I4+'Exh 5 Stores IS'!I12+'Exh 5 Stores IS'!I20+'Exh 5 Stores IS'!I28+'Exh 5 Stores IS'!I36+'Exh 5 Stores IS'!I44+'Exh 5 Stores IS'!I52+'Exh 5 Stores IS'!I60+'Exh 5 Stores IS'!I68+'Exh 5 Stores IS'!I76+'Exh 5 Stores IS'!I84+'Exh 5 Stores IS'!I92+'Exh 5 Stores IS'!I100)</f>
        <v>51539.6</v>
      </c>
      <c r="H3" s="50">
        <f>+('Exh 5 Stores IS'!J4+'Exh 5 Stores IS'!J12+'Exh 5 Stores IS'!J20+'Exh 5 Stores IS'!J28+'Exh 5 Stores IS'!J36+'Exh 5 Stores IS'!J44+'Exh 5 Stores IS'!J52+'Exh 5 Stores IS'!J60+'Exh 5 Stores IS'!J68+'Exh 5 Stores IS'!J76+'Exh 5 Stores IS'!J84+'Exh 5 Stores IS'!J92+'Exh 5 Stores IS'!J100)</f>
        <v>79191</v>
      </c>
      <c r="I3" s="50">
        <f>+('Exh 5 Stores IS'!K4+'Exh 5 Stores IS'!K12+'Exh 5 Stores IS'!K20+'Exh 5 Stores IS'!K28+'Exh 5 Stores IS'!K36+'Exh 5 Stores IS'!K44+'Exh 5 Stores IS'!K52+'Exh 5 Stores IS'!K60+'Exh 5 Stores IS'!K68+'Exh 5 Stores IS'!K76+'Exh 5 Stores IS'!K84+'Exh 5 Stores IS'!K92+'Exh 5 Stores IS'!K100)</f>
        <v>90679.700000000012</v>
      </c>
      <c r="J3" s="50">
        <f>+('Exh 5 Stores IS'!L4+'Exh 5 Stores IS'!L12+'Exh 5 Stores IS'!L20+'Exh 5 Stores IS'!L28+'Exh 5 Stores IS'!L36+'Exh 5 Stores IS'!L44+'Exh 5 Stores IS'!L52+'Exh 5 Stores IS'!L60+'Exh 5 Stores IS'!L68+'Exh 5 Stores IS'!L76+'Exh 5 Stores IS'!L84+'Exh 5 Stores IS'!L92+'Exh 5 Stores IS'!L100)</f>
        <v>111451</v>
      </c>
      <c r="K3" s="50">
        <f>+('Exh 5 Stores IS'!M4+'Exh 5 Stores IS'!M12+'Exh 5 Stores IS'!M20+'Exh 5 Stores IS'!M28+'Exh 5 Stores IS'!M36+'Exh 5 Stores IS'!M44+'Exh 5 Stores IS'!M52+'Exh 5 Stores IS'!M60+'Exh 5 Stores IS'!M68+'Exh 5 Stores IS'!M76+'Exh 5 Stores IS'!M84+'Exh 5 Stores IS'!M92+'Exh 5 Stores IS'!M100)</f>
        <v>134093.30000000002</v>
      </c>
      <c r="L3" s="50">
        <f>+('Exh 5 Stores IS'!N4+'Exh 5 Stores IS'!N12+'Exh 5 Stores IS'!N20+'Exh 5 Stores IS'!N28+'Exh 5 Stores IS'!N36+'Exh 5 Stores IS'!N44+'Exh 5 Stores IS'!N52+'Exh 5 Stores IS'!N60+'Exh 5 Stores IS'!N68+'Exh 5 Stores IS'!N76+'Exh 5 Stores IS'!N84+'Exh 5 Stores IS'!N92+'Exh 5 Stores IS'!N100)</f>
        <v>148217.90000000002</v>
      </c>
    </row>
    <row r="4" spans="1:14" ht="15" customHeight="1" x14ac:dyDescent="0.25">
      <c r="B4" t="s">
        <v>63</v>
      </c>
      <c r="D4" s="50">
        <f>-('Exh 5 Stores IS'!F5+'Exh 5 Stores IS'!F13+'Exh 5 Stores IS'!F21+'Exh 5 Stores IS'!F29+'Exh 5 Stores IS'!F37+'Exh 5 Stores IS'!F45+'Exh 5 Stores IS'!F53+'Exh 5 Stores IS'!F61+'Exh 5 Stores IS'!F69+'Exh 5 Stores IS'!F77+'Exh 5 Stores IS'!F85+'Exh 5 Stores IS'!F93+'Exh 5 Stores IS'!F101)</f>
        <v>-1462.9</v>
      </c>
      <c r="E4" s="50">
        <f>-('Exh 5 Stores IS'!G5+'Exh 5 Stores IS'!G13+'Exh 5 Stores IS'!G21+'Exh 5 Stores IS'!G29+'Exh 5 Stores IS'!G37+'Exh 5 Stores IS'!G45+'Exh 5 Stores IS'!G53+'Exh 5 Stores IS'!G61+'Exh 5 Stores IS'!G69+'Exh 5 Stores IS'!G77+'Exh 5 Stores IS'!G85+'Exh 5 Stores IS'!G93+'Exh 5 Stores IS'!G101)</f>
        <v>-7056.7000000000007</v>
      </c>
      <c r="F4" s="50">
        <f>-('Exh 5 Stores IS'!H5+'Exh 5 Stores IS'!H13+'Exh 5 Stores IS'!H21+'Exh 5 Stores IS'!H29+'Exh 5 Stores IS'!H37+'Exh 5 Stores IS'!H45+'Exh 5 Stores IS'!H53+'Exh 5 Stores IS'!H61+'Exh 5 Stores IS'!H69+'Exh 5 Stores IS'!H77+'Exh 5 Stores IS'!H85+'Exh 5 Stores IS'!H93+'Exh 5 Stores IS'!H101)</f>
        <v>-17423.8</v>
      </c>
      <c r="G4" s="50">
        <f>-('Exh 5 Stores IS'!I5+'Exh 5 Stores IS'!I13+'Exh 5 Stores IS'!I21+'Exh 5 Stores IS'!I29+'Exh 5 Stores IS'!I37+'Exh 5 Stores IS'!I45+'Exh 5 Stores IS'!I53+'Exh 5 Stores IS'!I61+'Exh 5 Stores IS'!I69+'Exh 5 Stores IS'!I77+'Exh 5 Stores IS'!I85+'Exh 5 Stores IS'!I93+'Exh 5 Stores IS'!I101)</f>
        <v>-30730.199999999997</v>
      </c>
      <c r="H4" s="50">
        <f>-('Exh 5 Stores IS'!J5+'Exh 5 Stores IS'!J13+'Exh 5 Stores IS'!J21+'Exh 5 Stores IS'!J29+'Exh 5 Stores IS'!J37+'Exh 5 Stores IS'!J45+'Exh 5 Stores IS'!J53+'Exh 5 Stores IS'!J61+'Exh 5 Stores IS'!J69+'Exh 5 Stores IS'!J77+'Exh 5 Stores IS'!J85+'Exh 5 Stores IS'!J93+'Exh 5 Stores IS'!J101)</f>
        <v>-43833.8</v>
      </c>
      <c r="I4" s="50">
        <f>-('Exh 5 Stores IS'!K5+'Exh 5 Stores IS'!K13+'Exh 5 Stores IS'!K21+'Exh 5 Stores IS'!K29+'Exh 5 Stores IS'!K37+'Exh 5 Stores IS'!K45+'Exh 5 Stores IS'!K53+'Exh 5 Stores IS'!K61+'Exh 5 Stores IS'!K69+'Exh 5 Stores IS'!K77+'Exh 5 Stores IS'!K85+'Exh 5 Stores IS'!K93+'Exh 5 Stores IS'!K101)</f>
        <v>-47289.9</v>
      </c>
      <c r="J4" s="50">
        <f>-('Exh 5 Stores IS'!L5+'Exh 5 Stores IS'!L13+'Exh 5 Stores IS'!L21+'Exh 5 Stores IS'!L29+'Exh 5 Stores IS'!L37+'Exh 5 Stores IS'!L45+'Exh 5 Stores IS'!L53+'Exh 5 Stores IS'!L61+'Exh 5 Stores IS'!L69+'Exh 5 Stores IS'!L77+'Exh 5 Stores IS'!L85+'Exh 5 Stores IS'!L93+'Exh 5 Stores IS'!L101)</f>
        <v>-49067.7</v>
      </c>
      <c r="K4" s="50">
        <f>-('Exh 5 Stores IS'!M5+'Exh 5 Stores IS'!M13+'Exh 5 Stores IS'!M21+'Exh 5 Stores IS'!M29+'Exh 5 Stores IS'!M37+'Exh 5 Stores IS'!M45+'Exh 5 Stores IS'!M53+'Exh 5 Stores IS'!M61+'Exh 5 Stores IS'!M69+'Exh 5 Stores IS'!M77+'Exh 5 Stores IS'!M85+'Exh 5 Stores IS'!M93+'Exh 5 Stores IS'!M101)</f>
        <v>-55486.7</v>
      </c>
      <c r="L4" s="50">
        <f>-('Exh 5 Stores IS'!N5+'Exh 5 Stores IS'!N13+'Exh 5 Stores IS'!N21+'Exh 5 Stores IS'!N29+'Exh 5 Stores IS'!N37+'Exh 5 Stores IS'!N45+'Exh 5 Stores IS'!N53+'Exh 5 Stores IS'!N61+'Exh 5 Stores IS'!N69+'Exh 5 Stores IS'!N77+'Exh 5 Stores IS'!N85+'Exh 5 Stores IS'!N93+'Exh 5 Stores IS'!N101)</f>
        <v>-61955.099999999991</v>
      </c>
      <c r="N4" s="3"/>
    </row>
    <row r="5" spans="1:14" ht="15" customHeight="1" x14ac:dyDescent="0.25">
      <c r="B5" t="s">
        <v>64</v>
      </c>
      <c r="D5" s="50">
        <f>-('Exh 5 Stores IS'!F6+'Exh 5 Stores IS'!F14+'Exh 5 Stores IS'!F22+'Exh 5 Stores IS'!F30+'Exh 5 Stores IS'!F38+'Exh 5 Stores IS'!F46+'Exh 5 Stores IS'!F54+'Exh 5 Stores IS'!F62+'Exh 5 Stores IS'!F70+'Exh 5 Stores IS'!F78+'Exh 5 Stores IS'!F86+'Exh 5 Stores IS'!F94+'Exh 5 Stores IS'!F102)</f>
        <v>-409.5</v>
      </c>
      <c r="E5" s="50">
        <f>-('Exh 5 Stores IS'!G6+'Exh 5 Stores IS'!G14+'Exh 5 Stores IS'!G22+'Exh 5 Stores IS'!G30+'Exh 5 Stores IS'!G38+'Exh 5 Stores IS'!G46+'Exh 5 Stores IS'!G54+'Exh 5 Stores IS'!G62+'Exh 5 Stores IS'!G70+'Exh 5 Stores IS'!G78+'Exh 5 Stores IS'!G86+'Exh 5 Stores IS'!G94+'Exh 5 Stores IS'!G102)</f>
        <v>-1811.5</v>
      </c>
      <c r="F5" s="50">
        <f>-('Exh 5 Stores IS'!H6+'Exh 5 Stores IS'!H14+'Exh 5 Stores IS'!H22+'Exh 5 Stores IS'!H30+'Exh 5 Stores IS'!H38+'Exh 5 Stores IS'!H46+'Exh 5 Stores IS'!H54+'Exh 5 Stores IS'!H62+'Exh 5 Stores IS'!H70+'Exh 5 Stores IS'!H78+'Exh 5 Stores IS'!H86+'Exh 5 Stores IS'!H94+'Exh 5 Stores IS'!H102)</f>
        <v>-4957.5999999999995</v>
      </c>
      <c r="G5" s="50">
        <f>-('Exh 5 Stores IS'!I6+'Exh 5 Stores IS'!I14+'Exh 5 Stores IS'!I22+'Exh 5 Stores IS'!I30+'Exh 5 Stores IS'!I38+'Exh 5 Stores IS'!I46+'Exh 5 Stores IS'!I54+'Exh 5 Stores IS'!I62+'Exh 5 Stores IS'!I70+'Exh 5 Stores IS'!I78+'Exh 5 Stores IS'!I86+'Exh 5 Stores IS'!I94+'Exh 5 Stores IS'!I102)</f>
        <v>-9230.1</v>
      </c>
      <c r="H5" s="50">
        <f>-('Exh 5 Stores IS'!J6+'Exh 5 Stores IS'!J14+'Exh 5 Stores IS'!J22+'Exh 5 Stores IS'!J30+'Exh 5 Stores IS'!J38+'Exh 5 Stores IS'!J46+'Exh 5 Stores IS'!J54+'Exh 5 Stores IS'!J62+'Exh 5 Stores IS'!J70+'Exh 5 Stores IS'!J78+'Exh 5 Stores IS'!J86+'Exh 5 Stores IS'!J94+'Exh 5 Stores IS'!J102)</f>
        <v>-13576.4</v>
      </c>
      <c r="I5" s="50">
        <f>-('Exh 5 Stores IS'!K6+'Exh 5 Stores IS'!K14+'Exh 5 Stores IS'!K22+'Exh 5 Stores IS'!K30+'Exh 5 Stores IS'!K38+'Exh 5 Stores IS'!K46+'Exh 5 Stores IS'!K54+'Exh 5 Stores IS'!K62+'Exh 5 Stores IS'!K70+'Exh 5 Stores IS'!K78+'Exh 5 Stores IS'!K86+'Exh 5 Stores IS'!K94+'Exh 5 Stores IS'!K102)</f>
        <v>-14679.1</v>
      </c>
      <c r="J5" s="50">
        <f>-('Exh 5 Stores IS'!L6+'Exh 5 Stores IS'!L14+'Exh 5 Stores IS'!L22+'Exh 5 Stores IS'!L30+'Exh 5 Stores IS'!L38+'Exh 5 Stores IS'!L46+'Exh 5 Stores IS'!L54+'Exh 5 Stores IS'!L62+'Exh 5 Stores IS'!L70+'Exh 5 Stores IS'!L78+'Exh 5 Stores IS'!L86+'Exh 5 Stores IS'!L94+'Exh 5 Stores IS'!L102)</f>
        <v>-16470.900000000001</v>
      </c>
      <c r="K5" s="50">
        <f>-('Exh 5 Stores IS'!M6+'Exh 5 Stores IS'!M14+'Exh 5 Stores IS'!M22+'Exh 5 Stores IS'!M30+'Exh 5 Stores IS'!M38+'Exh 5 Stores IS'!M46+'Exh 5 Stores IS'!M54+'Exh 5 Stores IS'!M62+'Exh 5 Stores IS'!M70+'Exh 5 Stores IS'!M78+'Exh 5 Stores IS'!M86+'Exh 5 Stores IS'!M94+'Exh 5 Stores IS'!M102)</f>
        <v>-18698.099999999999</v>
      </c>
      <c r="L5" s="50">
        <f>-('Exh 5 Stores IS'!N6+'Exh 5 Stores IS'!N14+'Exh 5 Stores IS'!N22+'Exh 5 Stores IS'!N30+'Exh 5 Stores IS'!N38+'Exh 5 Stores IS'!N46+'Exh 5 Stores IS'!N54+'Exh 5 Stores IS'!N62+'Exh 5 Stores IS'!N70+'Exh 5 Stores IS'!N78+'Exh 5 Stores IS'!N86+'Exh 5 Stores IS'!N94+'Exh 5 Stores IS'!N102)</f>
        <v>-21252.500000000004</v>
      </c>
      <c r="N5" s="3"/>
    </row>
    <row r="6" spans="1:14" ht="15" customHeight="1" x14ac:dyDescent="0.25">
      <c r="B6" t="s">
        <v>4</v>
      </c>
      <c r="D6" s="50">
        <f>-('Exh 5 Stores IS'!F7+'Exh 5 Stores IS'!F15+'Exh 5 Stores IS'!F23+'Exh 5 Stores IS'!F31+'Exh 5 Stores IS'!F39+'Exh 5 Stores IS'!F47+'Exh 5 Stores IS'!F55+'Exh 5 Stores IS'!F63+'Exh 5 Stores IS'!F71+'Exh 5 Stores IS'!F79+'Exh 5 Stores IS'!F87+'Exh 5 Stores IS'!F95+'Exh 5 Stores IS'!F103)</f>
        <v>-203.4</v>
      </c>
      <c r="E6" s="50">
        <f>-('Exh 5 Stores IS'!G7+'Exh 5 Stores IS'!G15+'Exh 5 Stores IS'!G23+'Exh 5 Stores IS'!G31+'Exh 5 Stores IS'!G39+'Exh 5 Stores IS'!G47+'Exh 5 Stores IS'!G55+'Exh 5 Stores IS'!G63+'Exh 5 Stores IS'!G71+'Exh 5 Stores IS'!G79+'Exh 5 Stores IS'!G87+'Exh 5 Stores IS'!G95+'Exh 5 Stores IS'!G103)</f>
        <v>-1018.7</v>
      </c>
      <c r="F6" s="50">
        <f>-('Exh 5 Stores IS'!H7+'Exh 5 Stores IS'!H15+'Exh 5 Stores IS'!H23+'Exh 5 Stores IS'!H31+'Exh 5 Stores IS'!H39+'Exh 5 Stores IS'!H47+'Exh 5 Stores IS'!H55+'Exh 5 Stores IS'!H63+'Exh 5 Stores IS'!H71+'Exh 5 Stores IS'!H79+'Exh 5 Stores IS'!H87+'Exh 5 Stores IS'!H95+'Exh 5 Stores IS'!H103)</f>
        <v>-2410.8000000000002</v>
      </c>
      <c r="G6" s="50">
        <f>-('Exh 5 Stores IS'!I7+'Exh 5 Stores IS'!I15+'Exh 5 Stores IS'!I23+'Exh 5 Stores IS'!I31+'Exh 5 Stores IS'!I39+'Exh 5 Stores IS'!I47+'Exh 5 Stores IS'!I55+'Exh 5 Stores IS'!I63+'Exh 5 Stores IS'!I71+'Exh 5 Stores IS'!I79+'Exh 5 Stores IS'!I87+'Exh 5 Stores IS'!I95+'Exh 5 Stores IS'!I103)</f>
        <v>-4587.5</v>
      </c>
      <c r="H6" s="50">
        <f>-('Exh 5 Stores IS'!J7+'Exh 5 Stores IS'!J15+'Exh 5 Stores IS'!J23+'Exh 5 Stores IS'!J31+'Exh 5 Stores IS'!J39+'Exh 5 Stores IS'!J47+'Exh 5 Stores IS'!J55+'Exh 5 Stores IS'!J63+'Exh 5 Stores IS'!J71+'Exh 5 Stores IS'!J79+'Exh 5 Stores IS'!J87+'Exh 5 Stores IS'!J95+'Exh 5 Stores IS'!J103)</f>
        <v>-6584.6</v>
      </c>
      <c r="I6" s="50">
        <f>-('Exh 5 Stores IS'!K7+'Exh 5 Stores IS'!K15+'Exh 5 Stores IS'!K23+'Exh 5 Stores IS'!K31+'Exh 5 Stores IS'!K39+'Exh 5 Stores IS'!K47+'Exh 5 Stores IS'!K55+'Exh 5 Stores IS'!K63+'Exh 5 Stores IS'!K71+'Exh 5 Stores IS'!K79+'Exh 5 Stores IS'!K87+'Exh 5 Stores IS'!K95+'Exh 5 Stores IS'!K103)</f>
        <v>-7532</v>
      </c>
      <c r="J6" s="50">
        <f>-('Exh 5 Stores IS'!L7+'Exh 5 Stores IS'!L15+'Exh 5 Stores IS'!L23+'Exh 5 Stores IS'!L31+'Exh 5 Stores IS'!L39+'Exh 5 Stores IS'!L47+'Exh 5 Stores IS'!L55+'Exh 5 Stores IS'!L63+'Exh 5 Stores IS'!L71+'Exh 5 Stores IS'!L79+'Exh 5 Stores IS'!L87+'Exh 5 Stores IS'!L95+'Exh 5 Stores IS'!L103)</f>
        <v>-8366.6</v>
      </c>
      <c r="K6" s="50">
        <f>-('Exh 5 Stores IS'!M7+'Exh 5 Stores IS'!M15+'Exh 5 Stores IS'!M23+'Exh 5 Stores IS'!M31+'Exh 5 Stores IS'!M39+'Exh 5 Stores IS'!M47+'Exh 5 Stores IS'!M55+'Exh 5 Stores IS'!M63+'Exh 5 Stores IS'!M71+'Exh 5 Stores IS'!M79+'Exh 5 Stores IS'!M87+'Exh 5 Stores IS'!M95+'Exh 5 Stores IS'!M103)</f>
        <v>-9545</v>
      </c>
      <c r="L6" s="50">
        <f>-('Exh 5 Stores IS'!N7+'Exh 5 Stores IS'!N15+'Exh 5 Stores IS'!N23+'Exh 5 Stores IS'!N31+'Exh 5 Stores IS'!N39+'Exh 5 Stores IS'!N47+'Exh 5 Stores IS'!N55+'Exh 5 Stores IS'!N63+'Exh 5 Stores IS'!N71+'Exh 5 Stores IS'!N79+'Exh 5 Stores IS'!N87+'Exh 5 Stores IS'!N95+'Exh 5 Stores IS'!N103)</f>
        <v>-10743.699999999999</v>
      </c>
      <c r="N6" s="3"/>
    </row>
    <row r="7" spans="1:14" ht="15" customHeight="1" x14ac:dyDescent="0.25">
      <c r="B7" t="s">
        <v>8</v>
      </c>
      <c r="D7" s="50">
        <f>-('Exh 5 Stores IS'!F8+'Exh 5 Stores IS'!F16+'Exh 5 Stores IS'!F24+'Exh 5 Stores IS'!F32+'Exh 5 Stores IS'!F40+'Exh 5 Stores IS'!F48+'Exh 5 Stores IS'!F56+'Exh 5 Stores IS'!F64+'Exh 5 Stores IS'!F72+'Exh 5 Stores IS'!F80+'Exh 5 Stores IS'!F88+'Exh 5 Stores IS'!F96+'Exh 5 Stores IS'!F104)</f>
        <v>-89.5</v>
      </c>
      <c r="E7" s="50">
        <f>-('Exh 5 Stores IS'!G8+'Exh 5 Stores IS'!G16+'Exh 5 Stores IS'!G24+'Exh 5 Stores IS'!G32+'Exh 5 Stores IS'!G40+'Exh 5 Stores IS'!G48+'Exh 5 Stores IS'!G56+'Exh 5 Stores IS'!G64+'Exh 5 Stores IS'!G72+'Exh 5 Stores IS'!G80+'Exh 5 Stores IS'!G88+'Exh 5 Stores IS'!G96+'Exh 5 Stores IS'!G104)</f>
        <v>-383.25</v>
      </c>
      <c r="F7" s="50">
        <f>-('Exh 5 Stores IS'!H8+'Exh 5 Stores IS'!H16+'Exh 5 Stores IS'!H24+'Exh 5 Stores IS'!H32+'Exh 5 Stores IS'!H40+'Exh 5 Stores IS'!H48+'Exh 5 Stores IS'!H56+'Exh 5 Stores IS'!H64+'Exh 5 Stores IS'!H72+'Exh 5 Stores IS'!H80+'Exh 5 Stores IS'!H88+'Exh 5 Stores IS'!H96+'Exh 5 Stores IS'!H104)</f>
        <v>-836.75</v>
      </c>
      <c r="G7" s="50">
        <f>-('Exh 5 Stores IS'!I8+'Exh 5 Stores IS'!I16+'Exh 5 Stores IS'!I24+'Exh 5 Stores IS'!I32+'Exh 5 Stores IS'!I40+'Exh 5 Stores IS'!I48+'Exh 5 Stores IS'!I56+'Exh 5 Stores IS'!I64+'Exh 5 Stores IS'!I72+'Exh 5 Stores IS'!I80+'Exh 5 Stores IS'!I88+'Exh 5 Stores IS'!I96+'Exh 5 Stores IS'!I104)</f>
        <v>-1579.5</v>
      </c>
      <c r="H7" s="50">
        <f>-('Exh 5 Stores IS'!J8+'Exh 5 Stores IS'!J16+'Exh 5 Stores IS'!J24+'Exh 5 Stores IS'!J32+'Exh 5 Stores IS'!J40+'Exh 5 Stores IS'!J48+'Exh 5 Stores IS'!J56+'Exh 5 Stores IS'!J64+'Exh 5 Stores IS'!J72+'Exh 5 Stores IS'!J80+'Exh 5 Stores IS'!J88+'Exh 5 Stores IS'!J96+'Exh 5 Stores IS'!J104)</f>
        <v>-2504.5</v>
      </c>
      <c r="I7" s="50">
        <f>-('Exh 5 Stores IS'!K8+'Exh 5 Stores IS'!K16+'Exh 5 Stores IS'!K24+'Exh 5 Stores IS'!K32+'Exh 5 Stores IS'!K40+'Exh 5 Stores IS'!K48+'Exh 5 Stores IS'!K56+'Exh 5 Stores IS'!K64+'Exh 5 Stores IS'!K72+'Exh 5 Stores IS'!K80+'Exh 5 Stores IS'!K88+'Exh 5 Stores IS'!K96+'Exh 5 Stores IS'!K104)</f>
        <v>-2441.75</v>
      </c>
      <c r="J7" s="50">
        <f>-('Exh 5 Stores IS'!L8+'Exh 5 Stores IS'!L16+'Exh 5 Stores IS'!L24+'Exh 5 Stores IS'!L32+'Exh 5 Stores IS'!L40+'Exh 5 Stores IS'!L48+'Exh 5 Stores IS'!L56+'Exh 5 Stores IS'!L64+'Exh 5 Stores IS'!L72+'Exh 5 Stores IS'!L80+'Exh 5 Stores IS'!L88+'Exh 5 Stores IS'!L96+'Exh 5 Stores IS'!L104)</f>
        <v>-2086.75</v>
      </c>
      <c r="K7" s="50">
        <f>-('Exh 5 Stores IS'!M8+'Exh 5 Stores IS'!M16+'Exh 5 Stores IS'!M24+'Exh 5 Stores IS'!M32+'Exh 5 Stores IS'!M40+'Exh 5 Stores IS'!M48+'Exh 5 Stores IS'!M56+'Exh 5 Stores IS'!M64+'Exh 5 Stores IS'!M72+'Exh 5 Stores IS'!M80+'Exh 5 Stores IS'!M88+'Exh 5 Stores IS'!M96+'Exh 5 Stores IS'!M104)</f>
        <v>-1532</v>
      </c>
      <c r="L7" s="50">
        <f>-('Exh 5 Stores IS'!N8+'Exh 5 Stores IS'!N16+'Exh 5 Stores IS'!N24+'Exh 5 Stores IS'!N32+'Exh 5 Stores IS'!N40+'Exh 5 Stores IS'!N48+'Exh 5 Stores IS'!N56+'Exh 5 Stores IS'!N64+'Exh 5 Stores IS'!N72+'Exh 5 Stores IS'!N80+'Exh 5 Stores IS'!N88+'Exh 5 Stores IS'!N96+'Exh 5 Stores IS'!N104)</f>
        <v>-798.1</v>
      </c>
      <c r="N7" s="3"/>
    </row>
    <row r="8" spans="1:14" ht="15" customHeight="1" x14ac:dyDescent="0.25">
      <c r="B8" t="s">
        <v>53</v>
      </c>
      <c r="D8" s="50">
        <f>-('Exh 5 Stores IS'!F9+'Exh 5 Stores IS'!F17+'Exh 5 Stores IS'!F25+'Exh 5 Stores IS'!F33+'Exh 5 Stores IS'!F41+'Exh 5 Stores IS'!F49+'Exh 5 Stores IS'!F57+'Exh 5 Stores IS'!F65+'Exh 5 Stores IS'!F73+'Exh 5 Stores IS'!F81+'Exh 5 Stores IS'!F89+'Exh 5 Stores IS'!F97+'Exh 5 Stores IS'!F105)</f>
        <v>-250</v>
      </c>
      <c r="E8" s="50">
        <f>-('Exh 5 Stores IS'!G9+'Exh 5 Stores IS'!G17+'Exh 5 Stores IS'!G25+'Exh 5 Stores IS'!G33+'Exh 5 Stores IS'!G41+'Exh 5 Stores IS'!G49+'Exh 5 Stores IS'!G57+'Exh 5 Stores IS'!G65+'Exh 5 Stores IS'!G73+'Exh 5 Stores IS'!G81+'Exh 5 Stores IS'!G89+'Exh 5 Stores IS'!G97+'Exh 5 Stores IS'!G105)</f>
        <v>-1080</v>
      </c>
      <c r="F8" s="50">
        <f>-('Exh 5 Stores IS'!H9+'Exh 5 Stores IS'!H17+'Exh 5 Stores IS'!H25+'Exh 5 Stores IS'!H33+'Exh 5 Stores IS'!H41+'Exh 5 Stores IS'!H49+'Exh 5 Stores IS'!H57+'Exh 5 Stores IS'!H65+'Exh 5 Stores IS'!H73+'Exh 5 Stores IS'!H81+'Exh 5 Stores IS'!H89+'Exh 5 Stores IS'!H97+'Exh 5 Stores IS'!H105)</f>
        <v>-2330</v>
      </c>
      <c r="G8" s="50">
        <f>-('Exh 5 Stores IS'!I9+'Exh 5 Stores IS'!I17+'Exh 5 Stores IS'!I25+'Exh 5 Stores IS'!I33+'Exh 5 Stores IS'!I41+'Exh 5 Stores IS'!I49+'Exh 5 Stores IS'!I57+'Exh 5 Stores IS'!I65+'Exh 5 Stores IS'!I73+'Exh 5 Stores IS'!I81+'Exh 5 Stores IS'!I89+'Exh 5 Stores IS'!I97+'Exh 5 Stores IS'!I105)</f>
        <v>-4240</v>
      </c>
      <c r="H8" s="50">
        <f>-('Exh 5 Stores IS'!J9+'Exh 5 Stores IS'!J17+'Exh 5 Stores IS'!J25+'Exh 5 Stores IS'!J33+'Exh 5 Stores IS'!J41+'Exh 5 Stores IS'!J49+'Exh 5 Stores IS'!J57+'Exh 5 Stores IS'!J65+'Exh 5 Stores IS'!J73+'Exh 5 Stores IS'!J81+'Exh 5 Stores IS'!J89+'Exh 5 Stores IS'!J97+'Exh 5 Stores IS'!J105)</f>
        <v>-6770</v>
      </c>
      <c r="I8" s="50">
        <f>-('Exh 5 Stores IS'!K9+'Exh 5 Stores IS'!K17+'Exh 5 Stores IS'!K25+'Exh 5 Stores IS'!K33+'Exh 5 Stores IS'!K41+'Exh 5 Stores IS'!K49+'Exh 5 Stores IS'!K57+'Exh 5 Stores IS'!K65+'Exh 5 Stores IS'!K73+'Exh 5 Stores IS'!K81+'Exh 5 Stores IS'!K89+'Exh 5 Stores IS'!K97+'Exh 5 Stores IS'!K105)</f>
        <v>-7380</v>
      </c>
      <c r="J8" s="50">
        <f>-('Exh 5 Stores IS'!L9+'Exh 5 Stores IS'!L17+'Exh 5 Stores IS'!L25+'Exh 5 Stores IS'!L33+'Exh 5 Stores IS'!L41+'Exh 5 Stores IS'!L49+'Exh 5 Stores IS'!L57+'Exh 5 Stores IS'!L65+'Exh 5 Stores IS'!L73+'Exh 5 Stores IS'!L81+'Exh 5 Stores IS'!L89+'Exh 5 Stores IS'!L97+'Exh 5 Stores IS'!L105)</f>
        <v>-7712</v>
      </c>
      <c r="K8" s="50">
        <f>-('Exh 5 Stores IS'!M9+'Exh 5 Stores IS'!M17+'Exh 5 Stores IS'!M25+'Exh 5 Stores IS'!M33+'Exh 5 Stores IS'!M41+'Exh 5 Stores IS'!M49+'Exh 5 Stores IS'!M57+'Exh 5 Stores IS'!M65+'Exh 5 Stores IS'!M73+'Exh 5 Stores IS'!M81+'Exh 5 Stores IS'!M89+'Exh 5 Stores IS'!M97+'Exh 5 Stores IS'!M105)</f>
        <v>-8450</v>
      </c>
      <c r="L8" s="50">
        <f>-('Exh 5 Stores IS'!N9+'Exh 5 Stores IS'!N17+'Exh 5 Stores IS'!N25+'Exh 5 Stores IS'!N33+'Exh 5 Stores IS'!N41+'Exh 5 Stores IS'!N49+'Exh 5 Stores IS'!N57+'Exh 5 Stores IS'!N65+'Exh 5 Stores IS'!N73+'Exh 5 Stores IS'!N81+'Exh 5 Stores IS'!N89+'Exh 5 Stores IS'!N97+'Exh 5 Stores IS'!N105)</f>
        <v>-9320</v>
      </c>
      <c r="N8" s="3"/>
    </row>
    <row r="9" spans="1:14" ht="15" customHeight="1" x14ac:dyDescent="0.25">
      <c r="B9" t="s">
        <v>100</v>
      </c>
      <c r="D9" s="46">
        <v>-185.08406855787482</v>
      </c>
      <c r="E9" s="46">
        <v>-729.05226975738742</v>
      </c>
      <c r="F9" s="46">
        <v>-1602.037437761441</v>
      </c>
      <c r="G9" s="46">
        <v>-3092.3782275164745</v>
      </c>
      <c r="H9" s="46">
        <v>-4751.4624017799943</v>
      </c>
      <c r="I9" s="46">
        <v>-5440.7827168532531</v>
      </c>
      <c r="J9" s="46">
        <v>-5572.5499412451973</v>
      </c>
      <c r="K9" s="46">
        <v>-6704.6637190649171</v>
      </c>
      <c r="L9" s="46">
        <v>-7410.8943379691937</v>
      </c>
      <c r="N9" s="3"/>
    </row>
    <row r="10" spans="1:14" s="18" customFormat="1" ht="15" hidden="1" customHeight="1" x14ac:dyDescent="0.25">
      <c r="B10" s="18" t="s">
        <v>16</v>
      </c>
      <c r="D10" s="8">
        <f t="shared" ref="D10:L10" si="0">-$C$16*SUM(D3:D9)</f>
        <v>217.55362742314998</v>
      </c>
      <c r="E10" s="8">
        <f t="shared" si="0"/>
        <v>665.68090790295537</v>
      </c>
      <c r="F10" s="8">
        <f t="shared" si="0"/>
        <v>1144.154975104575</v>
      </c>
      <c r="G10" s="8">
        <f t="shared" si="0"/>
        <v>768.03129100658941</v>
      </c>
      <c r="H10" s="8">
        <f t="shared" si="0"/>
        <v>-468.09503928800041</v>
      </c>
      <c r="I10" s="8">
        <f t="shared" si="0"/>
        <v>-2366.4669132587037</v>
      </c>
      <c r="J10" s="8">
        <f t="shared" si="0"/>
        <v>-8869.8000235019226</v>
      </c>
      <c r="K10" s="8">
        <f t="shared" si="0"/>
        <v>-13470.734512374042</v>
      </c>
      <c r="L10" s="8">
        <f t="shared" si="0"/>
        <v>-14695.042264812339</v>
      </c>
      <c r="N10" s="3"/>
    </row>
    <row r="11" spans="1:14" s="18" customFormat="1" ht="15" hidden="1" customHeight="1" x14ac:dyDescent="0.25">
      <c r="B11" s="18" t="s">
        <v>17</v>
      </c>
      <c r="D11" s="8">
        <f>IF(D10&gt;0,C11+D10,IF(C11+D10&gt;0,C11+D10,0))</f>
        <v>217.55362742314998</v>
      </c>
      <c r="E11" s="8">
        <f t="shared" ref="E11:L11" si="1">IF(E10&gt;0,D11+E10,IF(D11+E10&gt;0,D11+E10,0))</f>
        <v>883.23453532610529</v>
      </c>
      <c r="F11" s="8">
        <f t="shared" si="1"/>
        <v>2027.3895104306803</v>
      </c>
      <c r="G11" s="8">
        <f t="shared" si="1"/>
        <v>2795.4208014372698</v>
      </c>
      <c r="H11" s="8">
        <f t="shared" si="1"/>
        <v>2327.3257621492694</v>
      </c>
      <c r="I11" s="8">
        <f t="shared" si="1"/>
        <v>0</v>
      </c>
      <c r="J11" s="8">
        <f t="shared" si="1"/>
        <v>0</v>
      </c>
      <c r="K11" s="8">
        <f t="shared" si="1"/>
        <v>0</v>
      </c>
      <c r="L11" s="8">
        <f t="shared" si="1"/>
        <v>0</v>
      </c>
      <c r="N11" s="3"/>
    </row>
    <row r="12" spans="1:14" ht="15" customHeight="1" x14ac:dyDescent="0.25">
      <c r="B12" s="4" t="s">
        <v>5</v>
      </c>
      <c r="C12" s="32"/>
      <c r="D12" s="13">
        <f>IF(D10&gt;0,0,IF(C11&gt;0,MIN(D10+C11,0),D10))</f>
        <v>0</v>
      </c>
      <c r="E12" s="13">
        <f t="shared" ref="E12:L12" si="2">IF(E10&gt;0,0,IF(D11&gt;0,MIN(E10+D11,0),E10))</f>
        <v>0</v>
      </c>
      <c r="F12" s="13">
        <f t="shared" si="2"/>
        <v>0</v>
      </c>
      <c r="G12" s="13">
        <f t="shared" si="2"/>
        <v>0</v>
      </c>
      <c r="H12" s="13">
        <f t="shared" si="2"/>
        <v>0</v>
      </c>
      <c r="I12" s="13">
        <f t="shared" si="2"/>
        <v>-39.141151109434304</v>
      </c>
      <c r="J12" s="13">
        <f t="shared" si="2"/>
        <v>-8869.8000235019226</v>
      </c>
      <c r="K12" s="13">
        <f t="shared" si="2"/>
        <v>-13470.734512374042</v>
      </c>
      <c r="L12" s="13">
        <f t="shared" si="2"/>
        <v>-14695.042264812339</v>
      </c>
      <c r="N12" s="3"/>
    </row>
    <row r="13" spans="1:14" ht="15" customHeight="1" x14ac:dyDescent="0.25">
      <c r="B13" t="s">
        <v>18</v>
      </c>
      <c r="D13" s="8">
        <f>SUM(D3:D9)+D12</f>
        <v>-543.88406855787491</v>
      </c>
      <c r="E13" s="8">
        <f t="shared" ref="E13:L13" si="3">SUM(E3:E9)+E12</f>
        <v>-1664.2022697573882</v>
      </c>
      <c r="F13" s="8">
        <f t="shared" si="3"/>
        <v>-2860.3874377614375</v>
      </c>
      <c r="G13" s="8">
        <f t="shared" si="3"/>
        <v>-1920.0782275164734</v>
      </c>
      <c r="H13" s="8">
        <f t="shared" si="3"/>
        <v>1170.237598220001</v>
      </c>
      <c r="I13" s="8">
        <f t="shared" si="3"/>
        <v>5877.0261320373247</v>
      </c>
      <c r="J13" s="8">
        <f t="shared" si="3"/>
        <v>13304.700035252883</v>
      </c>
      <c r="K13" s="8">
        <f t="shared" si="3"/>
        <v>20206.10176856106</v>
      </c>
      <c r="L13" s="8">
        <f t="shared" si="3"/>
        <v>22042.563397218506</v>
      </c>
      <c r="N13" s="3"/>
    </row>
    <row r="14" spans="1:14" ht="15" customHeight="1" x14ac:dyDescent="0.25">
      <c r="D14" s="8"/>
    </row>
    <row r="15" spans="1:14" ht="15" customHeight="1" x14ac:dyDescent="0.25">
      <c r="A15" t="s">
        <v>6</v>
      </c>
      <c r="D15" s="6"/>
      <c r="E15" s="6"/>
      <c r="F15" s="6"/>
      <c r="G15" s="6"/>
      <c r="H15" s="6"/>
      <c r="I15" s="6"/>
      <c r="J15" s="6"/>
      <c r="K15" s="6"/>
      <c r="L15" s="6"/>
    </row>
    <row r="16" spans="1:14" ht="15" customHeight="1" x14ac:dyDescent="0.25">
      <c r="B16" t="s">
        <v>66</v>
      </c>
      <c r="C16" s="60">
        <f>'Exh 10 Forecast Parameters'!B12</f>
        <v>0.4</v>
      </c>
      <c r="D16" s="6"/>
      <c r="E16" s="6"/>
      <c r="F16" s="6"/>
      <c r="G16" s="6"/>
      <c r="H16" s="6"/>
      <c r="I16" s="6"/>
      <c r="J16" s="6"/>
      <c r="K16" s="6"/>
      <c r="L16" s="6"/>
    </row>
    <row r="17" spans="4:12" x14ac:dyDescent="0.25">
      <c r="D17" s="46"/>
      <c r="E17" s="46"/>
      <c r="F17" s="46"/>
      <c r="G17" s="46"/>
      <c r="H17" s="46"/>
      <c r="I17" s="46"/>
      <c r="J17" s="46"/>
      <c r="K17" s="46"/>
      <c r="L17" s="46"/>
    </row>
    <row r="18" spans="4:12" x14ac:dyDescent="0.25">
      <c r="D18" s="8"/>
      <c r="E18" s="8"/>
      <c r="F18" s="3"/>
      <c r="G18" s="3"/>
      <c r="H18" s="3"/>
      <c r="I18" s="3"/>
      <c r="J18" s="3"/>
      <c r="K18" s="3"/>
      <c r="L18" s="8"/>
    </row>
    <row r="19" spans="4:12" x14ac:dyDescent="0.25">
      <c r="D19" s="8"/>
      <c r="E19" s="8"/>
      <c r="F19" s="8"/>
      <c r="G19" s="8"/>
      <c r="H19" s="8"/>
      <c r="I19" s="8"/>
      <c r="J19" s="8"/>
      <c r="K19" s="8"/>
      <c r="L19" s="8"/>
    </row>
    <row r="20" spans="4:12" x14ac:dyDescent="0.25">
      <c r="D20" s="8"/>
      <c r="E20" s="8"/>
      <c r="F20" s="8"/>
      <c r="G20" s="8"/>
      <c r="H20" s="8"/>
      <c r="I20" s="8"/>
      <c r="J20" s="8"/>
      <c r="K20" s="8"/>
      <c r="L20" s="8"/>
    </row>
    <row r="21" spans="4:12" x14ac:dyDescent="0.25">
      <c r="D21" s="8"/>
      <c r="E21" s="8"/>
      <c r="F21" s="8"/>
      <c r="G21" s="8"/>
      <c r="H21" s="8"/>
      <c r="I21" s="8"/>
      <c r="J21" s="8"/>
      <c r="K21" s="8"/>
      <c r="L21" s="8"/>
    </row>
    <row r="22" spans="4:12" x14ac:dyDescent="0.25">
      <c r="D22" s="8"/>
      <c r="E22" s="8"/>
      <c r="F22" s="8"/>
      <c r="G22" s="8"/>
      <c r="H22" s="8"/>
      <c r="I22" s="8"/>
      <c r="J22" s="8"/>
      <c r="K22" s="8"/>
      <c r="L22" s="8"/>
    </row>
    <row r="23" spans="4:12" x14ac:dyDescent="0.25">
      <c r="D23" s="8"/>
      <c r="E23" s="8"/>
      <c r="F23" s="8"/>
      <c r="G23" s="8"/>
      <c r="H23" s="8"/>
      <c r="I23" s="8"/>
      <c r="J23" s="8"/>
      <c r="K23" s="8"/>
      <c r="L23" s="8"/>
    </row>
    <row r="24" spans="4:12" x14ac:dyDescent="0.25">
      <c r="D24" s="8"/>
      <c r="E24" s="8"/>
      <c r="F24" s="8"/>
      <c r="G24" s="8"/>
      <c r="H24" s="8"/>
      <c r="I24" s="8"/>
      <c r="J24" s="8"/>
      <c r="K24" s="8"/>
      <c r="L24" s="8"/>
    </row>
    <row r="25" spans="4:12" x14ac:dyDescent="0.25">
      <c r="D25" s="8"/>
      <c r="E25" s="8"/>
      <c r="F25" s="8"/>
      <c r="G25" s="8"/>
      <c r="H25" s="8"/>
      <c r="I25" s="8"/>
      <c r="J25" s="8"/>
      <c r="K25" s="8"/>
      <c r="L25" s="8"/>
    </row>
    <row r="26" spans="4:12" x14ac:dyDescent="0.25">
      <c r="D26" s="8"/>
      <c r="E26" s="8"/>
      <c r="F26" s="8"/>
      <c r="G26" s="8"/>
      <c r="H26" s="8"/>
      <c r="I26" s="8"/>
      <c r="J26" s="8"/>
      <c r="K26" s="8"/>
      <c r="L26" s="8"/>
    </row>
    <row r="27" spans="4:12" x14ac:dyDescent="0.25">
      <c r="D27" s="8"/>
      <c r="E27" s="8"/>
      <c r="F27" s="8"/>
      <c r="G27" s="8"/>
      <c r="H27" s="8"/>
      <c r="I27" s="8"/>
      <c r="J27" s="8"/>
      <c r="K27" s="8"/>
      <c r="L27" s="8"/>
    </row>
    <row r="28" spans="4:12" x14ac:dyDescent="0.25">
      <c r="D28" s="8"/>
      <c r="E28" s="8"/>
      <c r="F28" s="8"/>
      <c r="G28" s="8"/>
      <c r="H28" s="8"/>
      <c r="I28" s="8"/>
      <c r="J28" s="8"/>
      <c r="K28" s="8"/>
      <c r="L28" s="8"/>
    </row>
    <row r="29" spans="4:12" x14ac:dyDescent="0.25">
      <c r="D29" s="8"/>
      <c r="E29" s="8"/>
      <c r="F29" s="8"/>
      <c r="G29" s="8"/>
      <c r="H29" s="8"/>
      <c r="I29" s="8"/>
      <c r="J29" s="8"/>
      <c r="K29" s="8"/>
      <c r="L29" s="8"/>
    </row>
  </sheetData>
  <pageMargins left="0.7" right="0.7" top="0.75" bottom="0.75" header="0.3" footer="0.3"/>
  <pageSetup scale="59" fitToHeight="0"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workbookViewId="0"/>
  </sheetViews>
  <sheetFormatPr defaultColWidth="8.85546875" defaultRowHeight="15" x14ac:dyDescent="0.25"/>
  <cols>
    <col min="1" max="1" width="5.7109375" customWidth="1"/>
    <col min="2" max="2" width="25.7109375" customWidth="1"/>
    <col min="3" max="12" width="9.140625" customWidth="1"/>
  </cols>
  <sheetData>
    <row r="1" spans="1:12" ht="18.75" x14ac:dyDescent="0.3">
      <c r="A1" s="12" t="s">
        <v>73</v>
      </c>
    </row>
    <row r="2" spans="1:12" ht="15" customHeight="1" x14ac:dyDescent="0.25">
      <c r="C2" s="4">
        <v>2003</v>
      </c>
      <c r="D2" s="4">
        <v>2004</v>
      </c>
      <c r="E2" s="4">
        <v>2005</v>
      </c>
      <c r="F2" s="4">
        <v>2006</v>
      </c>
      <c r="G2" s="4">
        <v>2007</v>
      </c>
      <c r="H2" s="4">
        <v>2008</v>
      </c>
      <c r="I2" s="4">
        <v>2009</v>
      </c>
      <c r="J2" s="4">
        <v>2010</v>
      </c>
      <c r="K2" s="4">
        <v>2011</v>
      </c>
      <c r="L2" s="4">
        <v>2012</v>
      </c>
    </row>
    <row r="3" spans="1:12" ht="15" customHeight="1" x14ac:dyDescent="0.25">
      <c r="A3" s="41" t="s">
        <v>25</v>
      </c>
      <c r="C3" s="11"/>
      <c r="D3" s="11"/>
      <c r="E3" s="11"/>
      <c r="F3" s="11"/>
      <c r="G3" s="11"/>
      <c r="H3" s="11"/>
      <c r="I3" s="11"/>
      <c r="J3" s="11"/>
      <c r="K3" s="11"/>
      <c r="L3" s="11"/>
    </row>
    <row r="4" spans="1:12" ht="15" customHeight="1" x14ac:dyDescent="0.25">
      <c r="B4" t="s">
        <v>88</v>
      </c>
      <c r="C4" s="46">
        <f>'Exh 6 Stores BS'!E5+'Exh 6 Stores BS'!E13+'Exh 6 Stores BS'!E21+'Exh 6 Stores BS'!E29+'Exh 6 Stores BS'!E37+'Exh 6 Stores BS'!E45+'Exh 6 Stores BS'!E53+'Exh 6 Stores BS'!E61+'Exh 6 Stores BS'!E69+'Exh 6 Stores BS'!E77+'Exh 6 Stores BS'!E85+'Exh 6 Stores BS'!E94+'Exh 6 Stores BS'!E103</f>
        <v>0</v>
      </c>
      <c r="D4" s="46">
        <f>'Exh 6 Stores BS'!F5+'Exh 6 Stores BS'!F13+'Exh 6 Stores BS'!F21+'Exh 6 Stores BS'!F29+'Exh 6 Stores BS'!F37+'Exh 6 Stores BS'!F45+'Exh 6 Stores BS'!F53+'Exh 6 Stores BS'!F61+'Exh 6 Stores BS'!F69+'Exh 6 Stores BS'!F77+'Exh 6 Stores BS'!F85+'Exh 6 Stores BS'!F94+'Exh 6 Stores BS'!F103</f>
        <v>751</v>
      </c>
      <c r="E4" s="46">
        <f>'Exh 6 Stores BS'!G5+'Exh 6 Stores BS'!G13+'Exh 6 Stores BS'!G21+'Exh 6 Stores BS'!G29+'Exh 6 Stores BS'!G37+'Exh 6 Stores BS'!G45+'Exh 6 Stores BS'!G53+'Exh 6 Stores BS'!G61+'Exh 6 Stores BS'!G69+'Exh 6 Stores BS'!G77+'Exh 6 Stores BS'!G85+'Exh 6 Stores BS'!G94+'Exh 6 Stores BS'!G103</f>
        <v>3478.6866587029863</v>
      </c>
      <c r="F4" s="46">
        <f>'Exh 6 Stores BS'!H5+'Exh 6 Stores BS'!H13+'Exh 6 Stores BS'!H21+'Exh 6 Stores BS'!H29+'Exh 6 Stores BS'!H37+'Exh 6 Stores BS'!H45+'Exh 6 Stores BS'!H53+'Exh 6 Stores BS'!H61+'Exh 6 Stores BS'!H69+'Exh 6 Stores BS'!H77+'Exh 6 Stores BS'!H85+'Exh 6 Stores BS'!H94+'Exh 6 Stores BS'!H103</f>
        <v>8674.9330200171789</v>
      </c>
      <c r="G4" s="46">
        <f>'Exh 6 Stores BS'!I5+'Exh 6 Stores BS'!I13+'Exh 6 Stores BS'!I21+'Exh 6 Stores BS'!I29+'Exh 6 Stores BS'!I37+'Exh 6 Stores BS'!I45+'Exh 6 Stores BS'!I53+'Exh 6 Stores BS'!I61+'Exh 6 Stores BS'!I69+'Exh 6 Stores BS'!I77+'Exh 6 Stores BS'!I85+'Exh 6 Stores BS'!I94+'Exh 6 Stores BS'!I103</f>
        <v>16945.691799900364</v>
      </c>
      <c r="H4" s="46">
        <f>'Exh 6 Stores BS'!J5+'Exh 6 Stores BS'!J13+'Exh 6 Stores BS'!J21+'Exh 6 Stores BS'!J29+'Exh 6 Stores BS'!J37+'Exh 6 Stores BS'!J45+'Exh 6 Stores BS'!J53+'Exh 6 Stores BS'!J61+'Exh 6 Stores BS'!J69+'Exh 6 Stores BS'!J77+'Exh 6 Stores BS'!J85+'Exh 6 Stores BS'!J94+'Exh 6 Stores BS'!J103</f>
        <v>25271.948662072689</v>
      </c>
      <c r="I4" s="46">
        <f>'Exh 6 Stores BS'!K5+'Exh 6 Stores BS'!K13+'Exh 6 Stores BS'!K21+'Exh 6 Stores BS'!K29+'Exh 6 Stores BS'!K37+'Exh 6 Stores BS'!K45+'Exh 6 Stores BS'!K53+'Exh 6 Stores BS'!K61+'Exh 6 Stores BS'!K69+'Exh 6 Stores BS'!K77+'Exh 6 Stores BS'!K85+'Exh 6 Stores BS'!K94+'Exh 6 Stores BS'!K103</f>
        <v>29059.142999653657</v>
      </c>
      <c r="J4" s="46">
        <f>'Exh 6 Stores BS'!L5+'Exh 6 Stores BS'!L13+'Exh 6 Stores BS'!L21+'Exh 6 Stores BS'!L29+'Exh 6 Stores BS'!L37+'Exh 6 Stores BS'!L45+'Exh 6 Stores BS'!L53+'Exh 6 Stores BS'!L61+'Exh 6 Stores BS'!L69+'Exh 6 Stores BS'!L77+'Exh 6 Stores BS'!L85+'Exh 6 Stores BS'!L94+'Exh 6 Stores BS'!L103</f>
        <v>36625.198981081427</v>
      </c>
      <c r="K4" s="46">
        <f>'Exh 6 Stores BS'!M5+'Exh 6 Stores BS'!M13+'Exh 6 Stores BS'!M21+'Exh 6 Stores BS'!M29+'Exh 6 Stores BS'!M37+'Exh 6 Stores BS'!M45+'Exh 6 Stores BS'!M53+'Exh 6 Stores BS'!M61+'Exh 6 Stores BS'!M69+'Exh 6 Stores BS'!M77+'Exh 6 Stores BS'!M85+'Exh 6 Stores BS'!M94+'Exh 6 Stores BS'!M103</f>
        <v>42421.427974946448</v>
      </c>
      <c r="L4" s="46">
        <f>'Exh 6 Stores BS'!N5+'Exh 6 Stores BS'!N13+'Exh 6 Stores BS'!N21+'Exh 6 Stores BS'!N29+'Exh 6 Stores BS'!N37+'Exh 6 Stores BS'!N45+'Exh 6 Stores BS'!N53+'Exh 6 Stores BS'!N61+'Exh 6 Stores BS'!N69+'Exh 6 Stores BS'!N77+'Exh 6 Stores BS'!N85+'Exh 6 Stores BS'!N94+'Exh 6 Stores BS'!N103</f>
        <v>48199.959146758287</v>
      </c>
    </row>
    <row r="5" spans="1:12" ht="15" customHeight="1" x14ac:dyDescent="0.25">
      <c r="B5" t="s">
        <v>11</v>
      </c>
      <c r="C5" s="47">
        <f>'Exh 6 Stores BS'!E6+'Exh 6 Stores BS'!E14+'Exh 6 Stores BS'!E22+'Exh 6 Stores BS'!E30+'Exh 6 Stores BS'!E38+'Exh 6 Stores BS'!E46+'Exh 6 Stores BS'!E54+'Exh 6 Stores BS'!E62+'Exh 6 Stores BS'!E70+'Exh 6 Stores BS'!E78+'Exh 6 Stores BS'!E86+'Exh 6 Stores BS'!E95+'Exh 6 Stores BS'!E104</f>
        <v>670.84166067841807</v>
      </c>
      <c r="D5" s="47">
        <f>'Exh 6 Stores BS'!F6+'Exh 6 Stores BS'!F14+'Exh 6 Stores BS'!F22+'Exh 6 Stores BS'!F30+'Exh 6 Stores BS'!F38+'Exh 6 Stores BS'!F46+'Exh 6 Stores BS'!F54+'Exh 6 Stores BS'!F62+'Exh 6 Stores BS'!F70+'Exh 6 Stores BS'!F78+'Exh 6 Stores BS'!F86+'Exh 6 Stores BS'!F95+'Exh 6 Stores BS'!F104</f>
        <v>3151.2771545116902</v>
      </c>
      <c r="E5" s="47">
        <f>'Exh 6 Stores BS'!G6+'Exh 6 Stores BS'!G14+'Exh 6 Stores BS'!G22+'Exh 6 Stores BS'!G30+'Exh 6 Stores BS'!G38+'Exh 6 Stores BS'!G46+'Exh 6 Stores BS'!G54+'Exh 6 Stores BS'!G62+'Exh 6 Stores BS'!G70+'Exh 6 Stores BS'!G78+'Exh 6 Stores BS'!G86+'Exh 6 Stores BS'!G95+'Exh 6 Stores BS'!G104</f>
        <v>8215.9437922473626</v>
      </c>
      <c r="F5" s="47">
        <f>'Exh 6 Stores BS'!H6+'Exh 6 Stores BS'!H14+'Exh 6 Stores BS'!H22+'Exh 6 Stores BS'!H30+'Exh 6 Stores BS'!H38+'Exh 6 Stores BS'!H46+'Exh 6 Stores BS'!H54+'Exh 6 Stores BS'!H62+'Exh 6 Stores BS'!H70+'Exh 6 Stores BS'!H78+'Exh 6 Stores BS'!H86+'Exh 6 Stores BS'!H95+'Exh 6 Stores BS'!H104</f>
        <v>15124.779942467769</v>
      </c>
      <c r="G5" s="47">
        <f>'Exh 6 Stores BS'!I6+'Exh 6 Stores BS'!I14+'Exh 6 Stores BS'!I22+'Exh 6 Stores BS'!I30+'Exh 6 Stores BS'!I38+'Exh 6 Stores BS'!I46+'Exh 6 Stores BS'!I54+'Exh 6 Stores BS'!I62+'Exh 6 Stores BS'!I70+'Exh 6 Stores BS'!I78+'Exh 6 Stores BS'!I86+'Exh 6 Stores BS'!I95+'Exh 6 Stores BS'!I104</f>
        <v>20907.761050682064</v>
      </c>
      <c r="H5" s="47">
        <f>'Exh 6 Stores BS'!J6+'Exh 6 Stores BS'!J14+'Exh 6 Stores BS'!J22+'Exh 6 Stores BS'!J30+'Exh 6 Stores BS'!J38+'Exh 6 Stores BS'!J46+'Exh 6 Stores BS'!J54+'Exh 6 Stores BS'!J62+'Exh 6 Stores BS'!J70+'Exh 6 Stores BS'!J78+'Exh 6 Stores BS'!J86+'Exh 6 Stores BS'!J95+'Exh 6 Stores BS'!J104</f>
        <v>21714.711658115069</v>
      </c>
      <c r="I5" s="47">
        <f>'Exh 6 Stores BS'!K6+'Exh 6 Stores BS'!K14+'Exh 6 Stores BS'!K22+'Exh 6 Stores BS'!K30+'Exh 6 Stores BS'!K38+'Exh 6 Stores BS'!K46+'Exh 6 Stores BS'!K54+'Exh 6 Stores BS'!K62+'Exh 6 Stores BS'!K70+'Exh 6 Stores BS'!K78+'Exh 6 Stores BS'!K86+'Exh 6 Stores BS'!K95+'Exh 6 Stores BS'!K104</f>
        <v>24867.531674263086</v>
      </c>
      <c r="J5" s="47">
        <f>'Exh 6 Stores BS'!L6+'Exh 6 Stores BS'!L14+'Exh 6 Stores BS'!L22+'Exh 6 Stores BS'!L30+'Exh 6 Stores BS'!L38+'Exh 6 Stores BS'!L46+'Exh 6 Stores BS'!L54+'Exh 6 Stores BS'!L62+'Exh 6 Stores BS'!L70+'Exh 6 Stores BS'!L78+'Exh 6 Stores BS'!L86+'Exh 6 Stores BS'!L95+'Exh 6 Stores BS'!L104</f>
        <v>26807.819613932268</v>
      </c>
      <c r="K5" s="47">
        <f>'Exh 6 Stores BS'!M6+'Exh 6 Stores BS'!M14+'Exh 6 Stores BS'!M22+'Exh 6 Stores BS'!M30+'Exh 6 Stores BS'!M38+'Exh 6 Stores BS'!M46+'Exh 6 Stores BS'!M54+'Exh 6 Stores BS'!M62+'Exh 6 Stores BS'!M70+'Exh 6 Stores BS'!M78+'Exh 6 Stores BS'!M86+'Exh 6 Stores BS'!M95+'Exh 6 Stores BS'!M104</f>
        <v>29215.6498078119</v>
      </c>
      <c r="L5" s="47">
        <f>'Exh 6 Stores BS'!N6+'Exh 6 Stores BS'!N14+'Exh 6 Stores BS'!N22+'Exh 6 Stores BS'!N30+'Exh 6 Stores BS'!N38+'Exh 6 Stores BS'!N46+'Exh 6 Stores BS'!N54+'Exh 6 Stores BS'!N62+'Exh 6 Stores BS'!N70+'Exh 6 Stores BS'!N78+'Exh 6 Stores BS'!N86+'Exh 6 Stores BS'!N95+'Exh 6 Stores BS'!N104</f>
        <v>33342.956637222087</v>
      </c>
    </row>
    <row r="6" spans="1:12" ht="15" customHeight="1" x14ac:dyDescent="0.25">
      <c r="A6" t="s">
        <v>91</v>
      </c>
      <c r="C6" s="50">
        <f>SUM(C4:C5)</f>
        <v>670.84166067841807</v>
      </c>
      <c r="D6" s="50">
        <f t="shared" ref="D6:E6" si="0">SUM(D4:D5)</f>
        <v>3902.2771545116902</v>
      </c>
      <c r="E6" s="50">
        <f t="shared" si="0"/>
        <v>11694.63045095035</v>
      </c>
      <c r="F6" s="50">
        <f t="shared" ref="F6:L6" si="1">SUM(F4:F5)</f>
        <v>23799.712962484948</v>
      </c>
      <c r="G6" s="50">
        <f t="shared" si="1"/>
        <v>37853.452850582427</v>
      </c>
      <c r="H6" s="50">
        <f t="shared" si="1"/>
        <v>46986.660320187759</v>
      </c>
      <c r="I6" s="50">
        <f t="shared" si="1"/>
        <v>53926.674673916743</v>
      </c>
      <c r="J6" s="50">
        <f t="shared" si="1"/>
        <v>63433.018595013695</v>
      </c>
      <c r="K6" s="50">
        <f t="shared" si="1"/>
        <v>71637.077782758352</v>
      </c>
      <c r="L6" s="50">
        <f t="shared" si="1"/>
        <v>81542.915783980367</v>
      </c>
    </row>
    <row r="7" spans="1:12" ht="15" customHeight="1" x14ac:dyDescent="0.25">
      <c r="B7" t="s">
        <v>7</v>
      </c>
      <c r="C7" s="47">
        <f>0+('Exh 6 Stores BS'!E4+'Exh 6 Stores BS'!E12+'Exh 6 Stores BS'!E20+'Exh 6 Stores BS'!E28+'Exh 6 Stores BS'!E36+'Exh 6 Stores BS'!E44+'Exh 6 Stores BS'!E52+'Exh 6 Stores BS'!E60+'Exh 6 Stores BS'!E68+'Exh 6 Stores BS'!E76+'Exh 6 Stores BS'!E84+'Exh 6 Stores BS'!E93+'Exh 6 Stores BS'!E102)-('Exh 5 Stores IS'!E8+'Exh 5 Stores IS'!E16+'Exh 5 Stores IS'!E24+'Exh 5 Stores IS'!E32+'Exh 5 Stores IS'!E40+'Exh 5 Stores IS'!E48+'Exh 5 Stores IS'!E56+'Exh 5 Stores IS'!E64+'Exh 5 Stores IS'!E72+'Exh 5 Stores IS'!E80+'Exh 5 Stores IS'!E88+'Exh 5 Stores IS'!E96+'Exh 5 Stores IS'!E104)</f>
        <v>358</v>
      </c>
      <c r="D7" s="47">
        <f>C7+('Exh 6 Stores BS'!F4+'Exh 6 Stores BS'!F12+'Exh 6 Stores BS'!F20+'Exh 6 Stores BS'!F28+'Exh 6 Stores BS'!F36+'Exh 6 Stores BS'!F44+'Exh 6 Stores BS'!F52+'Exh 6 Stores BS'!F60+'Exh 6 Stores BS'!F68+'Exh 6 Stores BS'!F76+'Exh 6 Stores BS'!F84+'Exh 6 Stores BS'!F93+'Exh 6 Stores BS'!F102)-('Exh 5 Stores IS'!F8+'Exh 5 Stores IS'!F16+'Exh 5 Stores IS'!F24+'Exh 5 Stores IS'!F32+'Exh 5 Stores IS'!F40+'Exh 5 Stores IS'!F48+'Exh 5 Stores IS'!F56+'Exh 5 Stores IS'!F64+'Exh 5 Stores IS'!F72+'Exh 5 Stores IS'!F80+'Exh 5 Stores IS'!F88+'Exh 5 Stores IS'!F96+'Exh 5 Stores IS'!F104)</f>
        <v>1443.5</v>
      </c>
      <c r="E7" s="47">
        <f>D7+('Exh 6 Stores BS'!G4+'Exh 6 Stores BS'!G12+'Exh 6 Stores BS'!G20+'Exh 6 Stores BS'!G28+'Exh 6 Stores BS'!G36+'Exh 6 Stores BS'!G44+'Exh 6 Stores BS'!G52+'Exh 6 Stores BS'!G60+'Exh 6 Stores BS'!G68+'Exh 6 Stores BS'!G76+'Exh 6 Stores BS'!G84+'Exh 6 Stores BS'!G93+'Exh 6 Stores BS'!G102)-('Exh 5 Stores IS'!G8+'Exh 5 Stores IS'!G16+'Exh 5 Stores IS'!G24+'Exh 5 Stores IS'!G32+'Exh 5 Stores IS'!G40+'Exh 5 Stores IS'!G48+'Exh 5 Stores IS'!G56+'Exh 5 Stores IS'!G64+'Exh 5 Stores IS'!G72+'Exh 5 Stores IS'!G80+'Exh 5 Stores IS'!G88+'Exh 5 Stores IS'!G96+'Exh 5 Stores IS'!G104)</f>
        <v>2874.25</v>
      </c>
      <c r="F7" s="47">
        <f>E7+('Exh 6 Stores BS'!H4+'Exh 6 Stores BS'!H12+'Exh 6 Stores BS'!H20+'Exh 6 Stores BS'!H28+'Exh 6 Stores BS'!H36+'Exh 6 Stores BS'!H44+'Exh 6 Stores BS'!H52+'Exh 6 Stores BS'!H60+'Exh 6 Stores BS'!H68+'Exh 6 Stores BS'!H76+'Exh 6 Stores BS'!H84+'Exh 6 Stores BS'!H93+'Exh 6 Stores BS'!H102)-('Exh 5 Stores IS'!H8+'Exh 5 Stores IS'!H16+'Exh 5 Stores IS'!H24+'Exh 5 Stores IS'!H32+'Exh 5 Stores IS'!H40+'Exh 5 Stores IS'!H48+'Exh 5 Stores IS'!H56+'Exh 5 Stores IS'!H64+'Exh 5 Stores IS'!H72+'Exh 5 Stores IS'!H80+'Exh 5 Stores IS'!H88+'Exh 5 Stores IS'!H96+'Exh 5 Stores IS'!H104)</f>
        <v>5008.5</v>
      </c>
      <c r="G7" s="47">
        <f>F7+('Exh 6 Stores BS'!I4+'Exh 6 Stores BS'!I12+'Exh 6 Stores BS'!I20+'Exh 6 Stores BS'!I28+'Exh 6 Stores BS'!I36+'Exh 6 Stores BS'!I44+'Exh 6 Stores BS'!I52+'Exh 6 Stores BS'!I60+'Exh 6 Stores BS'!I68+'Exh 6 Stores BS'!I76+'Exh 6 Stores BS'!I84+'Exh 6 Stores BS'!I93+'Exh 6 Stores BS'!I102)-('Exh 5 Stores IS'!I8+'Exh 5 Stores IS'!I16+'Exh 5 Stores IS'!I24+'Exh 5 Stores IS'!I32+'Exh 5 Stores IS'!I40+'Exh 5 Stores IS'!I48+'Exh 5 Stores IS'!I56+'Exh 5 Stores IS'!I64+'Exh 5 Stores IS'!I72+'Exh 5 Stores IS'!I80+'Exh 5 Stores IS'!I88+'Exh 5 Stores IS'!I96+'Exh 5 Stores IS'!I104)</f>
        <v>7487</v>
      </c>
      <c r="H7" s="47">
        <f>G7+('Exh 6 Stores BS'!J4+'Exh 6 Stores BS'!J12+'Exh 6 Stores BS'!J20+'Exh 6 Stores BS'!J28+'Exh 6 Stores BS'!J36+'Exh 6 Stores BS'!J44+'Exh 6 Stores BS'!J52+'Exh 6 Stores BS'!J60+'Exh 6 Stores BS'!J68+'Exh 6 Stores BS'!J76+'Exh 6 Stores BS'!J84+'Exh 6 Stores BS'!J93+'Exh 6 Stores BS'!J102)-('Exh 5 Stores IS'!J8+'Exh 5 Stores IS'!J16+'Exh 5 Stores IS'!J24+'Exh 5 Stores IS'!J32+'Exh 5 Stores IS'!J40+'Exh 5 Stores IS'!J48+'Exh 5 Stores IS'!J56+'Exh 5 Stores IS'!J64+'Exh 5 Stores IS'!J72+'Exh 5 Stores IS'!J80+'Exh 5 Stores IS'!J88+'Exh 5 Stores IS'!J96+'Exh 5 Stores IS'!J104)</f>
        <v>5906.5</v>
      </c>
      <c r="I7" s="47">
        <f>H7+('Exh 6 Stores BS'!K4+'Exh 6 Stores BS'!K12+'Exh 6 Stores BS'!K20+'Exh 6 Stores BS'!K28+'Exh 6 Stores BS'!K36+'Exh 6 Stores BS'!K44+'Exh 6 Stores BS'!K52+'Exh 6 Stores BS'!K60+'Exh 6 Stores BS'!K68+'Exh 6 Stores BS'!K76+'Exh 6 Stores BS'!K84+'Exh 6 Stores BS'!K93+'Exh 6 Stores BS'!K102)-('Exh 5 Stores IS'!K8+'Exh 5 Stores IS'!K16+'Exh 5 Stores IS'!K24+'Exh 5 Stores IS'!K32+'Exh 5 Stores IS'!K40+'Exh 5 Stores IS'!K48+'Exh 5 Stores IS'!K56+'Exh 5 Stores IS'!K64+'Exh 5 Stores IS'!K72+'Exh 5 Stores IS'!K80+'Exh 5 Stores IS'!K88+'Exh 5 Stores IS'!K96+'Exh 5 Stores IS'!K104)</f>
        <v>3858.75</v>
      </c>
      <c r="J7" s="47">
        <f>I7+('Exh 6 Stores BS'!L4+'Exh 6 Stores BS'!L12+'Exh 6 Stores BS'!L20+'Exh 6 Stores BS'!L28+'Exh 6 Stores BS'!L36+'Exh 6 Stores BS'!L44+'Exh 6 Stores BS'!L52+'Exh 6 Stores BS'!L60+'Exh 6 Stores BS'!L68+'Exh 6 Stores BS'!L76+'Exh 6 Stores BS'!L84+'Exh 6 Stores BS'!L93+'Exh 6 Stores BS'!L102)-('Exh 5 Stores IS'!L8+'Exh 5 Stores IS'!L16+'Exh 5 Stores IS'!L24+'Exh 5 Stores IS'!L32+'Exh 5 Stores IS'!L40+'Exh 5 Stores IS'!L48+'Exh 5 Stores IS'!L56+'Exh 5 Stores IS'!L64+'Exh 5 Stores IS'!L72+'Exh 5 Stores IS'!L80+'Exh 5 Stores IS'!L88+'Exh 5 Stores IS'!L96+'Exh 5 Stores IS'!L104)</f>
        <v>2524</v>
      </c>
      <c r="K7" s="47">
        <f>J7+('Exh 6 Stores BS'!M4+'Exh 6 Stores BS'!M12+'Exh 6 Stores BS'!M20+'Exh 6 Stores BS'!M28+'Exh 6 Stores BS'!M36+'Exh 6 Stores BS'!M44+'Exh 6 Stores BS'!M52+'Exh 6 Stores BS'!M60+'Exh 6 Stores BS'!M68+'Exh 6 Stores BS'!M76+'Exh 6 Stores BS'!M84+'Exh 6 Stores BS'!M93+'Exh 6 Stores BS'!M102)-('Exh 5 Stores IS'!M8+'Exh 5 Stores IS'!M16+'Exh 5 Stores IS'!M24+'Exh 5 Stores IS'!M32+'Exh 5 Stores IS'!M40+'Exh 5 Stores IS'!M48+'Exh 5 Stores IS'!M56+'Exh 5 Stores IS'!M64+'Exh 5 Stores IS'!M72+'Exh 5 Stores IS'!M80+'Exh 5 Stores IS'!M88+'Exh 5 Stores IS'!M96+'Exh 5 Stores IS'!M104)</f>
        <v>2114.4</v>
      </c>
      <c r="L7" s="47">
        <f>K7+('Exh 6 Stores BS'!N4+'Exh 6 Stores BS'!N12+'Exh 6 Stores BS'!N20+'Exh 6 Stores BS'!N28+'Exh 6 Stores BS'!N36+'Exh 6 Stores BS'!N44+'Exh 6 Stores BS'!N52+'Exh 6 Stores BS'!N60+'Exh 6 Stores BS'!N68+'Exh 6 Stores BS'!N76+'Exh 6 Stores BS'!N84+'Exh 6 Stores BS'!N93+'Exh 6 Stores BS'!N102)-('Exh 5 Stores IS'!N8+'Exh 5 Stores IS'!N16+'Exh 5 Stores IS'!N24+'Exh 5 Stores IS'!N32+'Exh 5 Stores IS'!N40+'Exh 5 Stores IS'!N48+'Exh 5 Stores IS'!N56+'Exh 5 Stores IS'!N64+'Exh 5 Stores IS'!N72+'Exh 5 Stores IS'!N80+'Exh 5 Stores IS'!N88+'Exh 5 Stores IS'!N96+'Exh 5 Stores IS'!N104)</f>
        <v>3544.9</v>
      </c>
    </row>
    <row r="8" spans="1:12" ht="15" customHeight="1" x14ac:dyDescent="0.25">
      <c r="A8" t="s">
        <v>92</v>
      </c>
      <c r="C8" s="52">
        <f>C6+C7</f>
        <v>1028.8416606784181</v>
      </c>
      <c r="D8" s="52">
        <f t="shared" ref="D8:E8" si="2">D6+D7</f>
        <v>5345.7771545116902</v>
      </c>
      <c r="E8" s="52">
        <f t="shared" si="2"/>
        <v>14568.88045095035</v>
      </c>
      <c r="F8" s="52">
        <f t="shared" ref="F8:L8" si="3">F6+F7</f>
        <v>28808.212962484948</v>
      </c>
      <c r="G8" s="52">
        <f t="shared" si="3"/>
        <v>45340.452850582427</v>
      </c>
      <c r="H8" s="52">
        <f t="shared" si="3"/>
        <v>52893.160320187759</v>
      </c>
      <c r="I8" s="52">
        <f t="shared" si="3"/>
        <v>57785.424673916743</v>
      </c>
      <c r="J8" s="52">
        <f t="shared" si="3"/>
        <v>65957.018595013695</v>
      </c>
      <c r="K8" s="52">
        <f t="shared" si="3"/>
        <v>73751.477782758346</v>
      </c>
      <c r="L8" s="52">
        <f t="shared" si="3"/>
        <v>85087.815783980361</v>
      </c>
    </row>
    <row r="9" spans="1:12" ht="15" customHeight="1" x14ac:dyDescent="0.25">
      <c r="C9" s="8"/>
      <c r="D9" s="8"/>
      <c r="E9" s="8"/>
      <c r="F9" s="8"/>
      <c r="G9" s="8"/>
      <c r="H9" s="8"/>
      <c r="I9" s="8"/>
      <c r="J9" s="8"/>
      <c r="K9" s="8"/>
      <c r="L9" s="8"/>
    </row>
    <row r="10" spans="1:12" ht="15" customHeight="1" x14ac:dyDescent="0.25">
      <c r="A10" s="32" t="s">
        <v>26</v>
      </c>
      <c r="D10" s="2"/>
      <c r="E10" s="2"/>
      <c r="F10" s="2"/>
      <c r="G10" s="2"/>
      <c r="H10" s="2"/>
      <c r="I10" s="2"/>
      <c r="J10" s="2"/>
      <c r="K10" s="2"/>
      <c r="L10" s="2"/>
    </row>
    <row r="11" spans="1:12" ht="15" customHeight="1" x14ac:dyDescent="0.25">
      <c r="B11" t="s">
        <v>87</v>
      </c>
      <c r="C11" s="46">
        <f>'Exh 6 Stores BS'!E7+'Exh 6 Stores BS'!E15+'Exh 6 Stores BS'!E23+'Exh 6 Stores BS'!E31+'Exh 6 Stores BS'!E39+'Exh 6 Stores BS'!E47+'Exh 6 Stores BS'!E55+'Exh 6 Stores BS'!E63+'Exh 6 Stores BS'!E71+'Exh 6 Stores BS'!E79+'Exh 6 Stores BS'!E87+'Exh 6 Stores BS'!E96+'Exh 6 Stores BS'!E105</f>
        <v>235.95540336291995</v>
      </c>
      <c r="D11" s="46">
        <f>'Exh 6 Stores BS'!F7+'Exh 6 Stores BS'!F15+'Exh 6 Stores BS'!F23+'Exh 6 Stores BS'!F31+'Exh 6 Stores BS'!F39+'Exh 6 Stores BS'!F47+'Exh 6 Stores BS'!F55+'Exh 6 Stores BS'!F63+'Exh 6 Stores BS'!F71+'Exh 6 Stores BS'!F79+'Exh 6 Stores BS'!F87+'Exh 6 Stores BS'!F96+'Exh 6 Stores BS'!F105</f>
        <v>1158.2806080935916</v>
      </c>
      <c r="E11" s="46">
        <f>'Exh 6 Stores BS'!G7+'Exh 6 Stores BS'!G15+'Exh 6 Stores BS'!G23+'Exh 6 Stores BS'!G31+'Exh 6 Stores BS'!G39+'Exh 6 Stores BS'!G47+'Exh 6 Stores BS'!G55+'Exh 6 Stores BS'!G63+'Exh 6 Stores BS'!G71+'Exh 6 Stores BS'!G79+'Exh 6 Stores BS'!G87+'Exh 6 Stores BS'!G96+'Exh 6 Stores BS'!G105</f>
        <v>2781.0296584433136</v>
      </c>
      <c r="F11" s="46">
        <f>'Exh 6 Stores BS'!H7+'Exh 6 Stores BS'!H15+'Exh 6 Stores BS'!H23+'Exh 6 Stores BS'!H31+'Exh 6 Stores BS'!H39+'Exh 6 Stores BS'!H47+'Exh 6 Stores BS'!H55+'Exh 6 Stores BS'!H63+'Exh 6 Stores BS'!H71+'Exh 6 Stores BS'!H79+'Exh 6 Stores BS'!H87+'Exh 6 Stores BS'!H96+'Exh 6 Stores BS'!H105</f>
        <v>5119.235157153088</v>
      </c>
      <c r="G11" s="46">
        <f>'Exh 6 Stores BS'!I7+'Exh 6 Stores BS'!I15+'Exh 6 Stores BS'!I23+'Exh 6 Stores BS'!I31+'Exh 6 Stores BS'!I39+'Exh 6 Stores BS'!I47+'Exh 6 Stores BS'!I55+'Exh 6 Stores BS'!I63+'Exh 6 Stores BS'!I71+'Exh 6 Stores BS'!I79+'Exh 6 Stores BS'!I87+'Exh 6 Stores BS'!I96+'Exh 6 Stores BS'!I105</f>
        <v>7228.0429193521122</v>
      </c>
      <c r="H11" s="46">
        <f>'Exh 6 Stores BS'!J7+'Exh 6 Stores BS'!J15+'Exh 6 Stores BS'!J23+'Exh 6 Stores BS'!J31+'Exh 6 Stores BS'!J39+'Exh 6 Stores BS'!J47+'Exh 6 Stores BS'!J55+'Exh 6 Stores BS'!J63+'Exh 6 Stores BS'!J71+'Exh 6 Stores BS'!J79+'Exh 6 Stores BS'!J87+'Exh 6 Stores BS'!J96+'Exh 6 Stores BS'!J105</f>
        <v>7766.8387286974985</v>
      </c>
      <c r="I11" s="46">
        <f>'Exh 6 Stores BS'!K7+'Exh 6 Stores BS'!K15+'Exh 6 Stores BS'!K23+'Exh 6 Stores BS'!K31+'Exh 6 Stores BS'!K39+'Exh 6 Stores BS'!K47+'Exh 6 Stores BS'!K55+'Exh 6 Stores BS'!K63+'Exh 6 Stores BS'!K71+'Exh 6 Stores BS'!K79+'Exh 6 Stores BS'!K87+'Exh 6 Stores BS'!K96+'Exh 6 Stores BS'!K105</f>
        <v>8277.0312654756435</v>
      </c>
      <c r="J11" s="46">
        <f>'Exh 6 Stores BS'!L7+'Exh 6 Stores BS'!L15+'Exh 6 Stores BS'!L23+'Exh 6 Stores BS'!L31+'Exh 6 Stores BS'!L39+'Exh 6 Stores BS'!L47+'Exh 6 Stores BS'!L55+'Exh 6 Stores BS'!L63+'Exh 6 Stores BS'!L71+'Exh 6 Stores BS'!L79+'Exh 6 Stores BS'!L87+'Exh 6 Stores BS'!L96+'Exh 6 Stores BS'!L105</f>
        <v>9133.325375967248</v>
      </c>
      <c r="K11" s="46">
        <f>'Exh 6 Stores BS'!M7+'Exh 6 Stores BS'!M15+'Exh 6 Stores BS'!M23+'Exh 6 Stores BS'!M31+'Exh 6 Stores BS'!M39+'Exh 6 Stores BS'!M47+'Exh 6 Stores BS'!M55+'Exh 6 Stores BS'!M63+'Exh 6 Stores BS'!M71+'Exh 6 Stores BS'!M79+'Exh 6 Stores BS'!M87+'Exh 6 Stores BS'!M96+'Exh 6 Stores BS'!M105</f>
        <v>9985.8366114991568</v>
      </c>
      <c r="L11" s="46">
        <f>'Exh 6 Stores BS'!N7+'Exh 6 Stores BS'!N15+'Exh 6 Stores BS'!N23+'Exh 6 Stores BS'!N31+'Exh 6 Stores BS'!N39+'Exh 6 Stores BS'!N47+'Exh 6 Stores BS'!N55+'Exh 6 Stores BS'!N63+'Exh 6 Stores BS'!N71+'Exh 6 Stores BS'!N79+'Exh 6 Stores BS'!N87+'Exh 6 Stores BS'!N96+'Exh 6 Stores BS'!N105</f>
        <v>11363.545963450968</v>
      </c>
    </row>
    <row r="12" spans="1:12" ht="15" customHeight="1" x14ac:dyDescent="0.25">
      <c r="B12" t="s">
        <v>86</v>
      </c>
      <c r="C12" s="47">
        <f>'Exh 6 Stores BS'!E8+'Exh 6 Stores BS'!E16+'Exh 6 Stores BS'!E24+'Exh 6 Stores BS'!E32+'Exh 6 Stores BS'!E40+'Exh 6 Stores BS'!E48+'Exh 6 Stores BS'!E56+'Exh 6 Stores BS'!E64+'Exh 6 Stores BS'!E72+'Exh 6 Stores BS'!E80+'Exh 6 Stores BS'!E88+'Exh 6 Stores BS'!E97+'Exh 6 Stores BS'!E106</f>
        <v>28.963003922544758</v>
      </c>
      <c r="D12" s="47">
        <f>'Exh 6 Stores BS'!F8+'Exh 6 Stores BS'!F16+'Exh 6 Stores BS'!F24+'Exh 6 Stores BS'!F32+'Exh 6 Stores BS'!F40+'Exh 6 Stores BS'!F48+'Exh 6 Stores BS'!F56+'Exh 6 Stores BS'!F64+'Exh 6 Stores BS'!F72+'Exh 6 Stores BS'!F80+'Exh 6 Stores BS'!F88+'Exh 6 Stores BS'!F97+'Exh 6 Stores BS'!F106</f>
        <v>144.73004258721181</v>
      </c>
      <c r="E12" s="47">
        <f>'Exh 6 Stores BS'!G8+'Exh 6 Stores BS'!G16+'Exh 6 Stores BS'!G24+'Exh 6 Stores BS'!G32+'Exh 6 Stores BS'!G40+'Exh 6 Stores BS'!G48+'Exh 6 Stores BS'!G56+'Exh 6 Stores BS'!G64+'Exh 6 Stores BS'!G72+'Exh 6 Stores BS'!G80+'Exh 6 Stores BS'!G88+'Exh 6 Stores BS'!G97+'Exh 6 Stores BS'!G106</f>
        <v>357.56959528116158</v>
      </c>
      <c r="F12" s="47">
        <f>'Exh 6 Stores BS'!H8+'Exh 6 Stores BS'!H16+'Exh 6 Stores BS'!H24+'Exh 6 Stores BS'!H32+'Exh 6 Stores BS'!H40+'Exh 6 Stores BS'!H48+'Exh 6 Stores BS'!H56+'Exh 6 Stores BS'!H64+'Exh 6 Stores BS'!H72+'Exh 6 Stores BS'!H80+'Exh 6 Stores BS'!H88+'Exh 6 Stores BS'!H97+'Exh 6 Stores BS'!H106</f>
        <v>657.92163220249552</v>
      </c>
      <c r="G12" s="47">
        <f>'Exh 6 Stores BS'!I8+'Exh 6 Stores BS'!I16+'Exh 6 Stores BS'!I24+'Exh 6 Stores BS'!I32+'Exh 6 Stores BS'!I40+'Exh 6 Stores BS'!I48+'Exh 6 Stores BS'!I56+'Exh 6 Stores BS'!I64+'Exh 6 Stores BS'!I72+'Exh 6 Stores BS'!I80+'Exh 6 Stores BS'!I88+'Exh 6 Stores BS'!I97+'Exh 6 Stores BS'!I106</f>
        <v>958.23993683366848</v>
      </c>
      <c r="H12" s="47">
        <f>'Exh 6 Stores BS'!J8+'Exh 6 Stores BS'!J16+'Exh 6 Stores BS'!J24+'Exh 6 Stores BS'!J32+'Exh 6 Stores BS'!J40+'Exh 6 Stores BS'!J48+'Exh 6 Stores BS'!J56+'Exh 6 Stores BS'!J64+'Exh 6 Stores BS'!J72+'Exh 6 Stores BS'!J80+'Exh 6 Stores BS'!J88+'Exh 6 Stores BS'!J97+'Exh 6 Stores BS'!J106</f>
        <v>1054.7986460044306</v>
      </c>
      <c r="I12" s="47">
        <f>'Exh 6 Stores BS'!K8+'Exh 6 Stores BS'!K16+'Exh 6 Stores BS'!K24+'Exh 6 Stores BS'!K32+'Exh 6 Stores BS'!K40+'Exh 6 Stores BS'!K48+'Exh 6 Stores BS'!K56+'Exh 6 Stores BS'!K64+'Exh 6 Stores BS'!K72+'Exh 6 Stores BS'!K80+'Exh 6 Stores BS'!K88+'Exh 6 Stores BS'!K97+'Exh 6 Stores BS'!K106</f>
        <v>1203.4044998266631</v>
      </c>
      <c r="J12" s="47">
        <f>'Exh 6 Stores BS'!L8+'Exh 6 Stores BS'!L16+'Exh 6 Stores BS'!L24+'Exh 6 Stores BS'!L32+'Exh 6 Stores BS'!L40+'Exh 6 Stores BS'!L48+'Exh 6 Stores BS'!L56+'Exh 6 Stores BS'!L64+'Exh 6 Stores BS'!L72+'Exh 6 Stores BS'!L80+'Exh 6 Stores BS'!L88+'Exh 6 Stores BS'!L97+'Exh 6 Stores BS'!L106</f>
        <v>1359.2986412564446</v>
      </c>
      <c r="K12" s="47">
        <f>'Exh 6 Stores BS'!M8+'Exh 6 Stores BS'!M16+'Exh 6 Stores BS'!M24+'Exh 6 Stores BS'!M32+'Exh 6 Stores BS'!M40+'Exh 6 Stores BS'!M48+'Exh 6 Stores BS'!M56+'Exh 6 Stores BS'!M64+'Exh 6 Stores BS'!M72+'Exh 6 Stores BS'!M80+'Exh 6 Stores BS'!M88+'Exh 6 Stores BS'!M97+'Exh 6 Stores BS'!M106</f>
        <v>1518.8953557456541</v>
      </c>
      <c r="L12" s="47">
        <f>'Exh 6 Stores BS'!N8+'Exh 6 Stores BS'!N16+'Exh 6 Stores BS'!N24+'Exh 6 Stores BS'!N32+'Exh 6 Stores BS'!N40+'Exh 6 Stores BS'!N48+'Exh 6 Stores BS'!N56+'Exh 6 Stores BS'!N64+'Exh 6 Stores BS'!N72+'Exh 6 Stores BS'!N80+'Exh 6 Stores BS'!N88+'Exh 6 Stores BS'!N97+'Exh 6 Stores BS'!N106</f>
        <v>1682.2551123017518</v>
      </c>
    </row>
    <row r="13" spans="1:12" ht="15" customHeight="1" x14ac:dyDescent="0.25">
      <c r="A13" t="s">
        <v>93</v>
      </c>
      <c r="C13" s="50">
        <f>SUM(C11:C12)</f>
        <v>264.9184072854647</v>
      </c>
      <c r="D13" s="50">
        <f t="shared" ref="D13:E13" si="4">SUM(D11:D12)</f>
        <v>1303.0106506808033</v>
      </c>
      <c r="E13" s="50">
        <f t="shared" si="4"/>
        <v>3138.5992537244751</v>
      </c>
      <c r="F13" s="50">
        <f t="shared" ref="F13:L13" si="5">SUM(F11:F12)</f>
        <v>5777.1567893555839</v>
      </c>
      <c r="G13" s="50">
        <f t="shared" si="5"/>
        <v>8186.2828561857805</v>
      </c>
      <c r="H13" s="50">
        <f t="shared" si="5"/>
        <v>8821.6373747019297</v>
      </c>
      <c r="I13" s="50">
        <f t="shared" si="5"/>
        <v>9480.4357653023071</v>
      </c>
      <c r="J13" s="50">
        <f t="shared" si="5"/>
        <v>10492.624017223692</v>
      </c>
      <c r="K13" s="50">
        <f t="shared" si="5"/>
        <v>11504.73196724481</v>
      </c>
      <c r="L13" s="50">
        <f t="shared" si="5"/>
        <v>13045.801075752719</v>
      </c>
    </row>
    <row r="14" spans="1:12" ht="15" customHeight="1" x14ac:dyDescent="0.25">
      <c r="B14" t="s">
        <v>27</v>
      </c>
      <c r="C14" s="48">
        <v>0</v>
      </c>
      <c r="D14" s="48">
        <v>0</v>
      </c>
      <c r="E14" s="48">
        <v>0</v>
      </c>
      <c r="F14" s="48">
        <v>0</v>
      </c>
      <c r="G14" s="48">
        <v>0</v>
      </c>
      <c r="H14" s="48">
        <v>0</v>
      </c>
      <c r="I14" s="48">
        <v>0</v>
      </c>
      <c r="J14" s="48">
        <v>0</v>
      </c>
      <c r="K14" s="48">
        <v>0</v>
      </c>
      <c r="L14" s="48">
        <v>0</v>
      </c>
    </row>
    <row r="15" spans="1:12" ht="15" customHeight="1" x14ac:dyDescent="0.25">
      <c r="B15" t="s">
        <v>28</v>
      </c>
      <c r="C15" s="49">
        <f>0+'Exh 2 Teuer IS'!C13-'Exh 7 Teuer CFA'!C10</f>
        <v>763.92325339295337</v>
      </c>
      <c r="D15" s="49">
        <f>C15+'Exh 2 Teuer IS'!D13-'Exh 7 Teuer CFA'!D10</f>
        <v>4042.7665038308869</v>
      </c>
      <c r="E15" s="49">
        <f>D15+'Exh 2 Teuer IS'!E13-'Exh 7 Teuer CFA'!E10</f>
        <v>11430.281197225875</v>
      </c>
      <c r="F15" s="49">
        <f>E15+'Exh 2 Teuer IS'!F13-'Exh 7 Teuer CFA'!F10</f>
        <v>23031.056173129364</v>
      </c>
      <c r="G15" s="49">
        <f>F15+'Exh 2 Teuer IS'!G13-'Exh 7 Teuer CFA'!G10</f>
        <v>37154.169994396645</v>
      </c>
      <c r="H15" s="49">
        <f>G15+'Exh 2 Teuer IS'!H13-'Exh 7 Teuer CFA'!H10</f>
        <v>44071.522945485827</v>
      </c>
      <c r="I15" s="49">
        <f>H15+'Exh 2 Teuer IS'!I13-'Exh 7 Teuer CFA'!I10</f>
        <v>48304.988908614432</v>
      </c>
      <c r="J15" s="49">
        <f>I15+'Exh 2 Teuer IS'!J13-'Exh 7 Teuer CFA'!J10</f>
        <v>55464.394577790023</v>
      </c>
      <c r="K15" s="49">
        <f>J15+'Exh 2 Teuer IS'!K13-'Exh 7 Teuer CFA'!K10</f>
        <v>62246.745815513554</v>
      </c>
      <c r="L15" s="49">
        <f>K15+'Exh 2 Teuer IS'!L13-'Exh 7 Teuer CFA'!L10</f>
        <v>72042.014708227667</v>
      </c>
    </row>
    <row r="16" spans="1:12" ht="15" customHeight="1" x14ac:dyDescent="0.25">
      <c r="A16" t="s">
        <v>94</v>
      </c>
      <c r="C16" s="52">
        <f>SUM(C13:C15)</f>
        <v>1028.8416606784181</v>
      </c>
      <c r="D16" s="52">
        <f t="shared" ref="D16:E16" si="6">SUM(D13:D15)</f>
        <v>5345.7771545116902</v>
      </c>
      <c r="E16" s="52">
        <f t="shared" si="6"/>
        <v>14568.88045095035</v>
      </c>
      <c r="F16" s="52">
        <f t="shared" ref="F16:L16" si="7">SUM(F13:F15)</f>
        <v>28808.212962484948</v>
      </c>
      <c r="G16" s="52">
        <f t="shared" si="7"/>
        <v>45340.452850582427</v>
      </c>
      <c r="H16" s="52">
        <f t="shared" si="7"/>
        <v>52893.160320187759</v>
      </c>
      <c r="I16" s="52">
        <f t="shared" si="7"/>
        <v>57785.424673916743</v>
      </c>
      <c r="J16" s="52">
        <f t="shared" si="7"/>
        <v>65957.018595013709</v>
      </c>
      <c r="K16" s="52">
        <f t="shared" si="7"/>
        <v>73751.47778275836</v>
      </c>
      <c r="L16" s="52">
        <f t="shared" si="7"/>
        <v>85087.81578398039</v>
      </c>
    </row>
    <row r="17" spans="1:12" ht="15" customHeight="1" x14ac:dyDescent="0.25">
      <c r="C17" s="8"/>
      <c r="D17" s="8"/>
      <c r="E17" s="8"/>
      <c r="F17" s="8"/>
      <c r="G17" s="8"/>
      <c r="H17" s="8"/>
      <c r="I17" s="8"/>
      <c r="J17" s="8"/>
      <c r="K17" s="8"/>
      <c r="L17" s="8"/>
    </row>
    <row r="18" spans="1:12" ht="15" customHeight="1" x14ac:dyDescent="0.25">
      <c r="B18" t="s">
        <v>31</v>
      </c>
      <c r="C18" s="8" t="str">
        <f t="shared" ref="C18:L18" si="8">IF(ABS(C8-C16)&gt;0.01,"ERROR","")</f>
        <v/>
      </c>
      <c r="D18" s="8" t="str">
        <f t="shared" si="8"/>
        <v/>
      </c>
      <c r="E18" s="8" t="str">
        <f t="shared" si="8"/>
        <v/>
      </c>
      <c r="F18" s="8" t="str">
        <f t="shared" si="8"/>
        <v/>
      </c>
      <c r="G18" s="8" t="str">
        <f t="shared" si="8"/>
        <v/>
      </c>
      <c r="H18" s="8" t="str">
        <f t="shared" si="8"/>
        <v/>
      </c>
      <c r="I18" s="8" t="str">
        <f t="shared" si="8"/>
        <v/>
      </c>
      <c r="J18" s="8" t="str">
        <f t="shared" si="8"/>
        <v/>
      </c>
      <c r="K18" s="8" t="str">
        <f t="shared" si="8"/>
        <v/>
      </c>
      <c r="L18" s="8" t="str">
        <f t="shared" si="8"/>
        <v/>
      </c>
    </row>
    <row r="19" spans="1:12" ht="15" customHeight="1" x14ac:dyDescent="0.25">
      <c r="C19" s="9"/>
      <c r="D19" s="9"/>
      <c r="E19" s="9"/>
      <c r="F19" s="9"/>
      <c r="G19" s="9"/>
      <c r="H19" s="9"/>
      <c r="I19" s="9"/>
      <c r="J19" s="9"/>
      <c r="K19" s="9"/>
      <c r="L19" s="6"/>
    </row>
    <row r="20" spans="1:12" ht="15" customHeight="1" x14ac:dyDescent="0.25">
      <c r="C20" s="8"/>
      <c r="D20" s="8"/>
      <c r="E20" s="8"/>
      <c r="F20" s="8"/>
      <c r="G20" s="8"/>
      <c r="H20" s="8"/>
      <c r="I20" s="8"/>
      <c r="J20" s="8"/>
      <c r="K20" s="8"/>
      <c r="L20" s="8"/>
    </row>
    <row r="21" spans="1:12" ht="15" customHeight="1" x14ac:dyDescent="0.25">
      <c r="C21" s="8"/>
      <c r="D21" s="8"/>
      <c r="E21" s="8"/>
      <c r="F21" s="8"/>
      <c r="G21" s="8"/>
      <c r="H21" s="8"/>
      <c r="I21" s="8"/>
      <c r="J21" s="8"/>
      <c r="K21" s="8"/>
      <c r="L21" s="8"/>
    </row>
    <row r="22" spans="1:12" ht="15" customHeight="1" x14ac:dyDescent="0.25">
      <c r="B22" s="32"/>
      <c r="C22" s="8"/>
      <c r="D22" s="8"/>
      <c r="E22" s="8"/>
      <c r="F22" s="8"/>
      <c r="G22" s="8"/>
      <c r="H22" s="8"/>
      <c r="I22" s="8"/>
      <c r="J22" s="8"/>
      <c r="K22" s="8"/>
      <c r="L22" s="8"/>
    </row>
    <row r="23" spans="1:12" ht="15" customHeight="1" x14ac:dyDescent="0.25">
      <c r="C23" s="8"/>
      <c r="D23" s="8"/>
      <c r="E23" s="8"/>
      <c r="F23" s="8"/>
      <c r="G23" s="8"/>
      <c r="H23" s="8"/>
      <c r="I23" s="8"/>
      <c r="J23" s="8"/>
      <c r="K23" s="8"/>
      <c r="L23" s="8"/>
    </row>
    <row r="24" spans="1:12" ht="15" customHeight="1" x14ac:dyDescent="0.25">
      <c r="C24" s="8"/>
      <c r="D24" s="8"/>
      <c r="E24" s="8"/>
      <c r="F24" s="8"/>
      <c r="G24" s="8"/>
      <c r="H24" s="8"/>
      <c r="I24" s="8"/>
      <c r="J24" s="8"/>
      <c r="K24" s="8"/>
      <c r="L24" s="8"/>
    </row>
    <row r="25" spans="1:12" ht="15" customHeight="1" x14ac:dyDescent="0.25">
      <c r="C25" s="8"/>
      <c r="D25" s="8"/>
      <c r="E25" s="8"/>
      <c r="F25" s="8"/>
      <c r="G25" s="8"/>
      <c r="H25" s="8"/>
      <c r="I25" s="8"/>
      <c r="J25" s="8"/>
      <c r="K25" s="8"/>
      <c r="L25" s="8"/>
    </row>
    <row r="26" spans="1:12" ht="15" customHeight="1" x14ac:dyDescent="0.25">
      <c r="A26" s="32"/>
      <c r="C26" s="8"/>
      <c r="D26" s="8"/>
      <c r="E26" s="8"/>
      <c r="F26" s="8"/>
      <c r="G26" s="8"/>
      <c r="H26" s="8"/>
      <c r="I26" s="8"/>
      <c r="J26" s="8"/>
      <c r="K26" s="8"/>
      <c r="L26" s="8"/>
    </row>
    <row r="27" spans="1:12" ht="15" customHeight="1" x14ac:dyDescent="0.25">
      <c r="C27" s="8"/>
      <c r="D27" s="8"/>
      <c r="E27" s="8"/>
      <c r="F27" s="8"/>
      <c r="G27" s="8"/>
      <c r="H27" s="8"/>
      <c r="I27" s="8"/>
      <c r="J27" s="8"/>
      <c r="K27" s="8"/>
      <c r="L27" s="8"/>
    </row>
    <row r="28" spans="1:12" ht="15" customHeight="1" x14ac:dyDescent="0.25">
      <c r="C28" s="8"/>
      <c r="D28" s="8"/>
      <c r="E28" s="8"/>
      <c r="F28" s="8"/>
      <c r="G28" s="8"/>
      <c r="H28" s="8"/>
      <c r="I28" s="8"/>
      <c r="J28" s="8"/>
      <c r="K28" s="8"/>
      <c r="L28" s="8"/>
    </row>
    <row r="29" spans="1:12" x14ac:dyDescent="0.25">
      <c r="C29" s="8"/>
      <c r="D29" s="8"/>
      <c r="E29" s="8"/>
      <c r="F29" s="8"/>
      <c r="G29" s="8"/>
      <c r="H29" s="8"/>
      <c r="I29" s="8"/>
      <c r="J29" s="8"/>
      <c r="K29" s="8"/>
      <c r="L29" s="8"/>
    </row>
    <row r="30" spans="1:12" x14ac:dyDescent="0.25">
      <c r="C30" s="8"/>
      <c r="D30" s="8"/>
      <c r="E30" s="8"/>
      <c r="F30" s="8"/>
      <c r="G30" s="8"/>
      <c r="H30" s="8"/>
      <c r="I30" s="8"/>
      <c r="J30" s="8"/>
      <c r="K30" s="8"/>
      <c r="L30" s="8"/>
    </row>
    <row r="31" spans="1:12" x14ac:dyDescent="0.25">
      <c r="C31" s="8"/>
      <c r="D31" s="8"/>
      <c r="E31" s="8"/>
      <c r="F31" s="8"/>
      <c r="G31" s="8"/>
      <c r="H31" s="8"/>
      <c r="I31" s="8"/>
      <c r="J31" s="8"/>
      <c r="K31" s="8"/>
      <c r="L31" s="8"/>
    </row>
  </sheetData>
  <pageMargins left="0.7" right="0.7" top="0.75" bottom="0.75" header="0.3" footer="0.3"/>
  <pageSetup scale="6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48564"/>
  <sheetViews>
    <sheetView workbookViewId="0"/>
  </sheetViews>
  <sheetFormatPr defaultColWidth="8.85546875" defaultRowHeight="15" x14ac:dyDescent="0.25"/>
  <cols>
    <col min="1" max="1" width="25.7109375" customWidth="1"/>
    <col min="2" max="19" width="9.140625" customWidth="1"/>
    <col min="21" max="21" width="18.28515625" customWidth="1"/>
  </cols>
  <sheetData>
    <row r="1" spans="1:19" ht="18.75" x14ac:dyDescent="0.3">
      <c r="A1" s="12" t="s">
        <v>72</v>
      </c>
    </row>
    <row r="2" spans="1:19" x14ac:dyDescent="0.25">
      <c r="B2" s="31">
        <v>2002</v>
      </c>
      <c r="C2" s="31">
        <v>2003</v>
      </c>
      <c r="D2" s="31">
        <v>2004</v>
      </c>
      <c r="E2" s="31">
        <v>2005</v>
      </c>
      <c r="F2" s="31">
        <v>2006</v>
      </c>
      <c r="G2" s="31">
        <v>2007</v>
      </c>
      <c r="H2" s="31">
        <v>2008</v>
      </c>
      <c r="I2" s="31">
        <v>2009</v>
      </c>
      <c r="J2" s="31">
        <v>2010</v>
      </c>
      <c r="K2" s="31">
        <v>2011</v>
      </c>
      <c r="L2" s="31">
        <v>2012</v>
      </c>
      <c r="M2" s="31">
        <v>2013</v>
      </c>
      <c r="N2" s="31">
        <v>2014</v>
      </c>
      <c r="O2" s="31">
        <v>2015</v>
      </c>
      <c r="P2" s="31">
        <v>2016</v>
      </c>
      <c r="Q2" s="31">
        <v>2017</v>
      </c>
      <c r="R2" s="31">
        <v>2018</v>
      </c>
      <c r="S2" s="31">
        <v>2019</v>
      </c>
    </row>
    <row r="3" spans="1:19" x14ac:dyDescent="0.25">
      <c r="A3" s="22" t="s">
        <v>98</v>
      </c>
      <c r="B3" s="68">
        <v>180.9</v>
      </c>
      <c r="C3" s="69">
        <v>184.3</v>
      </c>
      <c r="D3" s="69">
        <v>190.3</v>
      </c>
      <c r="E3" s="69">
        <v>196.8</v>
      </c>
      <c r="F3" s="69">
        <v>201.8</v>
      </c>
      <c r="G3" s="69">
        <v>210.036</v>
      </c>
      <c r="H3" s="69">
        <v>210.22800000000001</v>
      </c>
      <c r="I3" s="69">
        <v>215.94900000000001</v>
      </c>
      <c r="J3" s="69">
        <v>219.179</v>
      </c>
      <c r="K3" s="69">
        <v>225.672</v>
      </c>
      <c r="L3" s="69">
        <v>229.601</v>
      </c>
      <c r="M3" s="26">
        <f>L3*(1+M4)</f>
        <v>233.45829679999997</v>
      </c>
      <c r="N3" s="26">
        <f t="shared" ref="N3:R3" si="0">M3*(1+N4)</f>
        <v>237.68389197207998</v>
      </c>
      <c r="O3" s="26">
        <f t="shared" si="0"/>
        <v>242.29495947633833</v>
      </c>
      <c r="P3" s="26">
        <f t="shared" si="0"/>
        <v>247.40738312128906</v>
      </c>
      <c r="Q3" s="26">
        <f t="shared" si="0"/>
        <v>252.99878997983018</v>
      </c>
      <c r="R3" s="26">
        <f t="shared" si="0"/>
        <v>258.74186251237234</v>
      </c>
      <c r="S3" s="26"/>
    </row>
    <row r="4" spans="1:19" x14ac:dyDescent="0.25">
      <c r="A4" t="s">
        <v>46</v>
      </c>
      <c r="B4" s="22"/>
      <c r="C4" s="6">
        <f>C3/B3-1</f>
        <v>1.8794914317302513E-2</v>
      </c>
      <c r="D4" s="6">
        <f t="shared" ref="D4:L4" si="1">D3/C3-1</f>
        <v>3.255561584373301E-2</v>
      </c>
      <c r="E4" s="6">
        <f t="shared" si="1"/>
        <v>3.4156594850236477E-2</v>
      </c>
      <c r="F4" s="6">
        <f t="shared" si="1"/>
        <v>2.5406504065040636E-2</v>
      </c>
      <c r="G4" s="6">
        <f t="shared" si="1"/>
        <v>4.0812685827551931E-2</v>
      </c>
      <c r="H4" s="6">
        <f t="shared" si="1"/>
        <v>9.1412900645604367E-4</v>
      </c>
      <c r="I4" s="6">
        <f t="shared" si="1"/>
        <v>2.7213311262058282E-2</v>
      </c>
      <c r="J4" s="6">
        <f t="shared" si="1"/>
        <v>1.4957235273143077E-2</v>
      </c>
      <c r="K4" s="6">
        <f t="shared" si="1"/>
        <v>2.9624188448710953E-2</v>
      </c>
      <c r="L4" s="6">
        <f t="shared" si="1"/>
        <v>1.7410223687475579E-2</v>
      </c>
      <c r="M4" s="66">
        <v>1.6799999999999999E-2</v>
      </c>
      <c r="N4" s="66">
        <v>1.8100000000000002E-2</v>
      </c>
      <c r="O4" s="66">
        <v>1.9400000000000001E-2</v>
      </c>
      <c r="P4" s="66">
        <v>2.1100000000000001E-2</v>
      </c>
      <c r="Q4" s="66">
        <v>2.2599999999999999E-2</v>
      </c>
      <c r="R4" s="66">
        <v>2.2700000000000001E-2</v>
      </c>
      <c r="S4" s="6"/>
    </row>
    <row r="5" spans="1:19" x14ac:dyDescent="0.25">
      <c r="A5" t="s">
        <v>45</v>
      </c>
      <c r="B5" s="70">
        <v>10642.3</v>
      </c>
      <c r="C5" s="58">
        <v>11142.225</v>
      </c>
      <c r="D5" s="58">
        <v>11853.25</v>
      </c>
      <c r="E5" s="58">
        <v>12622.95</v>
      </c>
      <c r="F5" s="58">
        <v>13377.2</v>
      </c>
      <c r="G5" s="58">
        <v>14028.674999999999</v>
      </c>
      <c r="H5" s="58">
        <v>14291.55</v>
      </c>
      <c r="I5" s="58">
        <v>13973.65</v>
      </c>
      <c r="J5" s="58">
        <v>14498.924999999999</v>
      </c>
      <c r="K5" s="58">
        <v>15075.674999999999</v>
      </c>
      <c r="L5" s="58">
        <v>15684.75</v>
      </c>
      <c r="M5" s="58">
        <v>16237.745999999999</v>
      </c>
      <c r="N5" s="58">
        <v>17049.026999999998</v>
      </c>
      <c r="O5" s="58">
        <v>18012.185000000001</v>
      </c>
      <c r="P5" s="58">
        <v>19020.508999999998</v>
      </c>
      <c r="Q5" s="58">
        <v>20077.907999999999</v>
      </c>
      <c r="R5" s="58">
        <v>21101.367999999999</v>
      </c>
      <c r="S5" s="25"/>
    </row>
    <row r="6" spans="1:19" x14ac:dyDescent="0.25">
      <c r="A6" t="s">
        <v>99</v>
      </c>
      <c r="B6" s="24"/>
      <c r="C6" s="6">
        <f>C5/B5-1</f>
        <v>4.6975277900453971E-2</v>
      </c>
      <c r="D6" s="6">
        <f t="shared" ref="D6:R6" si="2">D5/C5-1</f>
        <v>6.3813556089560075E-2</v>
      </c>
      <c r="E6" s="6">
        <f t="shared" si="2"/>
        <v>6.4935777107544501E-2</v>
      </c>
      <c r="F6" s="6">
        <f t="shared" si="2"/>
        <v>5.9752276607290655E-2</v>
      </c>
      <c r="G6" s="6">
        <f t="shared" si="2"/>
        <v>4.870040068175685E-2</v>
      </c>
      <c r="H6" s="6">
        <f t="shared" si="2"/>
        <v>1.8738405444562733E-2</v>
      </c>
      <c r="I6" s="6">
        <f t="shared" si="2"/>
        <v>-2.2243913361391865E-2</v>
      </c>
      <c r="J6" s="6">
        <f t="shared" si="2"/>
        <v>3.7590393347479045E-2</v>
      </c>
      <c r="K6" s="6">
        <f t="shared" si="2"/>
        <v>3.9778811187725971E-2</v>
      </c>
      <c r="L6" s="6">
        <f t="shared" si="2"/>
        <v>4.0401176066743316E-2</v>
      </c>
      <c r="M6" s="6">
        <f t="shared" si="2"/>
        <v>3.5256921532061281E-2</v>
      </c>
      <c r="N6" s="6">
        <f t="shared" si="2"/>
        <v>4.996266107377223E-2</v>
      </c>
      <c r="O6" s="6">
        <f t="shared" si="2"/>
        <v>5.6493429214464985E-2</v>
      </c>
      <c r="P6" s="6">
        <f t="shared" si="2"/>
        <v>5.5980104579205436E-2</v>
      </c>
      <c r="Q6" s="6">
        <f t="shared" si="2"/>
        <v>5.5592571155693049E-2</v>
      </c>
      <c r="R6" s="6">
        <f t="shared" si="2"/>
        <v>5.0974434189059892E-2</v>
      </c>
      <c r="S6" s="6"/>
    </row>
    <row r="7" spans="1:19" x14ac:dyDescent="0.25">
      <c r="A7" s="22" t="s">
        <v>19</v>
      </c>
      <c r="B7" s="48">
        <v>94.44</v>
      </c>
      <c r="C7" s="68">
        <v>96.74</v>
      </c>
      <c r="D7" s="68">
        <v>103.76</v>
      </c>
      <c r="E7" s="68">
        <v>109.12</v>
      </c>
      <c r="F7" s="68">
        <v>112.8</v>
      </c>
      <c r="G7" s="68">
        <v>111.14</v>
      </c>
      <c r="H7" s="68">
        <v>99.56</v>
      </c>
      <c r="I7" s="68">
        <v>86.26</v>
      </c>
      <c r="J7" s="68">
        <v>87.29</v>
      </c>
      <c r="K7" s="68">
        <v>90.07</v>
      </c>
      <c r="L7" s="68">
        <f>K7*(1+L8)</f>
        <v>93.132379999999998</v>
      </c>
      <c r="M7" s="23">
        <f t="shared" ref="M7:S7" si="3">L7*(1+M8)</f>
        <v>95.926351400000001</v>
      </c>
      <c r="N7" s="23">
        <f t="shared" si="3"/>
        <v>98.708215590599991</v>
      </c>
      <c r="O7" s="23">
        <f t="shared" si="3"/>
        <v>101.47204562713679</v>
      </c>
      <c r="P7" s="23">
        <f t="shared" si="3"/>
        <v>104.21179085906948</v>
      </c>
      <c r="Q7" s="23">
        <f t="shared" si="3"/>
        <v>106.92129742140528</v>
      </c>
      <c r="R7" s="23">
        <f t="shared" si="3"/>
        <v>109.5943298569404</v>
      </c>
      <c r="S7" s="23">
        <f t="shared" si="3"/>
        <v>112.22459377350698</v>
      </c>
    </row>
    <row r="8" spans="1:19" x14ac:dyDescent="0.25">
      <c r="A8" s="22" t="s">
        <v>47</v>
      </c>
      <c r="B8" s="22"/>
      <c r="C8" s="29">
        <f>C7/B7-1</f>
        <v>2.4354087251164724E-2</v>
      </c>
      <c r="D8" s="29">
        <f t="shared" ref="D8:K8" si="4">D7/C7-1</f>
        <v>7.2565639859416997E-2</v>
      </c>
      <c r="E8" s="29">
        <f t="shared" si="4"/>
        <v>5.1657671549730111E-2</v>
      </c>
      <c r="F8" s="29">
        <f t="shared" si="4"/>
        <v>3.3724340175953049E-2</v>
      </c>
      <c r="G8" s="29">
        <f t="shared" si="4"/>
        <v>-1.4716312056737513E-2</v>
      </c>
      <c r="H8" s="29">
        <f t="shared" si="4"/>
        <v>-0.10419290984344065</v>
      </c>
      <c r="I8" s="29">
        <f>I7/H7-1</f>
        <v>-0.13358778625954193</v>
      </c>
      <c r="J8" s="29">
        <f t="shared" si="4"/>
        <v>1.1940644562949299E-2</v>
      </c>
      <c r="K8" s="29">
        <f t="shared" si="4"/>
        <v>3.1847863443693392E-2</v>
      </c>
      <c r="L8" s="6">
        <v>3.4000000000000002E-2</v>
      </c>
      <c r="M8" s="66">
        <v>0.03</v>
      </c>
      <c r="N8" s="66">
        <v>2.9000000000000001E-2</v>
      </c>
      <c r="O8" s="66">
        <v>2.8000000000000001E-2</v>
      </c>
      <c r="P8" s="66">
        <v>2.7E-2</v>
      </c>
      <c r="Q8" s="66">
        <v>2.5999999999999999E-2</v>
      </c>
      <c r="R8" s="66">
        <v>2.5000000000000001E-2</v>
      </c>
      <c r="S8" s="71">
        <v>2.4E-2</v>
      </c>
    </row>
    <row r="9" spans="1:19" x14ac:dyDescent="0.25">
      <c r="B9" s="22"/>
      <c r="C9" s="22"/>
      <c r="D9" s="22"/>
      <c r="E9" s="22"/>
      <c r="F9" s="22"/>
      <c r="G9" s="22"/>
      <c r="H9" s="22"/>
      <c r="I9" s="22"/>
      <c r="J9" s="22"/>
      <c r="K9" s="22"/>
      <c r="L9" s="22"/>
      <c r="M9" s="22"/>
      <c r="N9" s="22"/>
      <c r="O9" s="22"/>
      <c r="P9" s="22"/>
      <c r="Q9" s="22"/>
      <c r="R9" s="22"/>
      <c r="S9" s="22"/>
    </row>
    <row r="13" spans="1:19" x14ac:dyDescent="0.25">
      <c r="R13" s="8"/>
    </row>
    <row r="1048564" spans="2:2" x14ac:dyDescent="0.25">
      <c r="B1048564" s="22"/>
    </row>
  </sheetData>
  <pageMargins left="0.7" right="0.7" top="0.75" bottom="0.75" header="0.3" footer="0.3"/>
  <pageSetup scale="62" orientation="landscape"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112"/>
  <sheetViews>
    <sheetView zoomScaleNormal="100" workbookViewId="0">
      <pane xSplit="4" ySplit="2" topLeftCell="E3" activePane="bottomRight" state="frozen"/>
      <selection activeCell="A9" sqref="A9"/>
      <selection pane="topRight" activeCell="A9" sqref="A9"/>
      <selection pane="bottomLeft" activeCell="A9" sqref="A9"/>
      <selection pane="bottomRight"/>
    </sheetView>
  </sheetViews>
  <sheetFormatPr defaultColWidth="8.85546875" defaultRowHeight="15" x14ac:dyDescent="0.25"/>
  <cols>
    <col min="1" max="1" width="4.42578125" customWidth="1"/>
    <col min="2" max="2" width="13.7109375" customWidth="1"/>
    <col min="3" max="3" width="3.7109375" customWidth="1"/>
    <col min="4" max="4" width="6.7109375" customWidth="1"/>
    <col min="5" max="21" width="6.140625" customWidth="1"/>
  </cols>
  <sheetData>
    <row r="1" spans="1:21" ht="18.75" x14ac:dyDescent="0.3">
      <c r="A1" s="12" t="s">
        <v>71</v>
      </c>
    </row>
    <row r="2" spans="1:21" ht="12.95" customHeight="1" x14ac:dyDescent="0.25">
      <c r="A2" s="73"/>
      <c r="B2" s="73"/>
      <c r="C2" s="90" t="s">
        <v>52</v>
      </c>
      <c r="D2" s="90" t="s">
        <v>22</v>
      </c>
      <c r="E2" s="73"/>
      <c r="F2" s="74">
        <v>2004</v>
      </c>
      <c r="G2" s="74">
        <v>2005</v>
      </c>
      <c r="H2" s="74">
        <v>2006</v>
      </c>
      <c r="I2" s="74">
        <v>2007</v>
      </c>
      <c r="J2" s="74">
        <v>2008</v>
      </c>
      <c r="K2" s="74">
        <v>2009</v>
      </c>
      <c r="L2" s="74">
        <v>2010</v>
      </c>
      <c r="M2" s="74">
        <v>2011</v>
      </c>
      <c r="N2" s="74">
        <v>2012</v>
      </c>
      <c r="O2" s="75">
        <v>2013</v>
      </c>
      <c r="P2" s="75">
        <v>2014</v>
      </c>
      <c r="Q2" s="75">
        <v>2015</v>
      </c>
      <c r="R2" s="75">
        <v>2016</v>
      </c>
      <c r="S2" s="75">
        <v>2017</v>
      </c>
      <c r="T2" s="75">
        <v>2018</v>
      </c>
      <c r="U2" s="75">
        <v>2019</v>
      </c>
    </row>
    <row r="3" spans="1:21" ht="12.95" customHeight="1" x14ac:dyDescent="0.25">
      <c r="A3" s="89">
        <v>2003</v>
      </c>
      <c r="B3" s="79"/>
      <c r="C3" s="80">
        <v>1</v>
      </c>
      <c r="D3" s="80">
        <v>17200</v>
      </c>
      <c r="E3" s="79"/>
      <c r="F3" s="79">
        <v>1</v>
      </c>
      <c r="G3" s="79">
        <v>2</v>
      </c>
      <c r="H3" s="79">
        <v>3</v>
      </c>
      <c r="I3" s="79">
        <v>4</v>
      </c>
      <c r="J3" s="79">
        <v>5</v>
      </c>
      <c r="K3" s="79">
        <v>6</v>
      </c>
      <c r="L3" s="79">
        <v>7</v>
      </c>
      <c r="M3" s="79">
        <v>8</v>
      </c>
      <c r="N3" s="79">
        <v>9</v>
      </c>
      <c r="O3" s="79">
        <v>10</v>
      </c>
      <c r="P3" s="79">
        <v>11</v>
      </c>
      <c r="Q3" s="79">
        <v>12</v>
      </c>
      <c r="R3" s="79">
        <v>13</v>
      </c>
      <c r="S3" s="79">
        <v>14</v>
      </c>
      <c r="T3" s="79">
        <v>15</v>
      </c>
      <c r="U3" s="79">
        <v>16</v>
      </c>
    </row>
    <row r="4" spans="1:21" ht="12.95" customHeight="1" x14ac:dyDescent="0.25">
      <c r="A4" s="73"/>
      <c r="B4" s="73" t="s">
        <v>24</v>
      </c>
      <c r="C4" s="73"/>
      <c r="D4" s="73"/>
      <c r="E4" s="73"/>
      <c r="F4" s="83">
        <v>2056.5</v>
      </c>
      <c r="G4" s="83">
        <v>3754</v>
      </c>
      <c r="H4" s="83">
        <v>5223.5</v>
      </c>
      <c r="I4" s="83">
        <v>6147.9</v>
      </c>
      <c r="J4" s="83">
        <v>6341</v>
      </c>
      <c r="K4" s="83">
        <v>5503</v>
      </c>
      <c r="L4" s="83">
        <v>5635.5</v>
      </c>
      <c r="M4" s="83">
        <v>5871</v>
      </c>
      <c r="N4" s="83">
        <v>6034</v>
      </c>
      <c r="O4" s="78">
        <f>N4*(1+HLOOKUP(O3,'Exh 10 Forecast Parameters'!$B$2:$H$3,2,TRUE))*(1+HLOOKUP(O$2,'Exh 4 Econ Indicators'!$B$2:$S$8,7,FALSE))</f>
        <v>6233.6650599999994</v>
      </c>
      <c r="P4" s="78">
        <f>O4*(1+HLOOKUP(P3,'Exh 10 Forecast Parameters'!$B$2:$H$3,2,TRUE))*(1+HLOOKUP(P$2,'Exh 4 Econ Indicators'!$B$2:$S$8,7,FALSE))</f>
        <v>6433.6846707802179</v>
      </c>
      <c r="Q4" s="78">
        <f>P4*(1+HLOOKUP(Q3,'Exh 10 Forecast Parameters'!$B$2:$H$3,2,TRUE))*(1+HLOOKUP(Q$2,'Exh 4 Econ Indicators'!$B$2:$S$8,7,FALSE))</f>
        <v>6633.6693250867493</v>
      </c>
      <c r="R4" s="78">
        <f>Q4*(1+HLOOKUP(R3,'Exh 10 Forecast Parameters'!$B$2:$H$3,2,TRUE))*(1+HLOOKUP(R$2,'Exh 4 Econ Indicators'!$B$2:$S$8,7,FALSE))</f>
        <v>6833.2167320546823</v>
      </c>
      <c r="S4" s="78">
        <f>R4*(1+HLOOKUP(S3,'Exh 10 Forecast Parameters'!$B$2:$H$3,2,TRUE))*(1+HLOOKUP(S$2,'Exh 4 Econ Indicators'!$B$2:$S$8,7,FALSE))</f>
        <v>7031.9130081893672</v>
      </c>
      <c r="T4" s="78">
        <f>S4*(1+HLOOKUP(T3,'Exh 10 Forecast Parameters'!$B$2:$H$3,2,TRUE))*(1+HLOOKUP(T$2,'Exh 4 Econ Indicators'!$B$2:$S$8,7,FALSE))</f>
        <v>7229.3339658942823</v>
      </c>
      <c r="U4" s="78">
        <f>T4*(1+HLOOKUP(U3,'Exh 10 Forecast Parameters'!$B$2:$H$3,2,TRUE))*(1+HLOOKUP(U$2,'Exh 4 Econ Indicators'!$B$2:$S$8,7,FALSE))</f>
        <v>7425.0464950189717</v>
      </c>
    </row>
    <row r="5" spans="1:21" ht="12.95" customHeight="1" x14ac:dyDescent="0.25">
      <c r="A5" s="73"/>
      <c r="B5" s="73" t="s">
        <v>1</v>
      </c>
      <c r="C5" s="73"/>
      <c r="D5" s="73"/>
      <c r="E5" s="73"/>
      <c r="F5" s="83">
        <v>1462.9</v>
      </c>
      <c r="G5" s="83">
        <v>2308.9</v>
      </c>
      <c r="H5" s="83">
        <v>3018.3</v>
      </c>
      <c r="I5" s="83">
        <v>2393.6</v>
      </c>
      <c r="J5" s="83">
        <v>2753.3</v>
      </c>
      <c r="K5" s="83">
        <v>2311.1999999999998</v>
      </c>
      <c r="L5" s="83">
        <v>2194.1</v>
      </c>
      <c r="M5" s="83">
        <v>2149.6999999999998</v>
      </c>
      <c r="N5" s="83">
        <v>2416</v>
      </c>
      <c r="O5" s="78">
        <f>HLOOKUP(O3,'Exh 10 Forecast Parameters'!$B$2:$H$4,3,TRUE)*O4</f>
        <v>2487.2323589399998</v>
      </c>
      <c r="P5" s="78">
        <f>HLOOKUP(P3,'Exh 10 Forecast Parameters'!$B$2:$H$4,3,TRUE)*P4</f>
        <v>2567.0401836413071</v>
      </c>
      <c r="Q5" s="78">
        <f>HLOOKUP(Q3,'Exh 10 Forecast Parameters'!$B$2:$H$4,3,TRUE)*Q4</f>
        <v>2646.8340607096129</v>
      </c>
      <c r="R5" s="78">
        <f>HLOOKUP(R3,'Exh 10 Forecast Parameters'!$B$2:$H$4,3,TRUE)*R4</f>
        <v>2726.4534760898182</v>
      </c>
      <c r="S5" s="78">
        <f>HLOOKUP(S3,'Exh 10 Forecast Parameters'!$B$2:$H$4,3,TRUE)*S4</f>
        <v>2805.7332902675575</v>
      </c>
      <c r="T5" s="78">
        <f>HLOOKUP(T3,'Exh 10 Forecast Parameters'!$B$2:$H$4,3,TRUE)*T4</f>
        <v>2884.5042523918187</v>
      </c>
      <c r="U5" s="78">
        <f>HLOOKUP(U3,'Exh 10 Forecast Parameters'!$B$2:$H$4,3,TRUE)*U4</f>
        <v>2962.5935515125698</v>
      </c>
    </row>
    <row r="6" spans="1:21" ht="12.95" customHeight="1" x14ac:dyDescent="0.25">
      <c r="A6" s="73"/>
      <c r="B6" s="73" t="s">
        <v>15</v>
      </c>
      <c r="C6" s="73"/>
      <c r="D6" s="73"/>
      <c r="E6" s="73"/>
      <c r="F6" s="83">
        <v>409.5</v>
      </c>
      <c r="G6" s="83">
        <v>640.20000000000005</v>
      </c>
      <c r="H6" s="83">
        <v>856.7</v>
      </c>
      <c r="I6" s="83">
        <v>855.5</v>
      </c>
      <c r="J6" s="83">
        <v>815.1</v>
      </c>
      <c r="K6" s="83">
        <v>765.1</v>
      </c>
      <c r="L6" s="83">
        <v>766.8</v>
      </c>
      <c r="M6" s="83">
        <v>686.6</v>
      </c>
      <c r="N6" s="83">
        <v>791</v>
      </c>
      <c r="O6" s="78">
        <f>HLOOKUP(O3,'Exh 10 Forecast Parameters'!$B$2:$H$5,4,TRUE)*O4</f>
        <v>847.77844815999993</v>
      </c>
      <c r="P6" s="78">
        <f>HLOOKUP(P3,'Exh 10 Forecast Parameters'!$B$2:$H$5,4,TRUE)*P4</f>
        <v>874.98111522610964</v>
      </c>
      <c r="Q6" s="78">
        <f>HLOOKUP(Q3,'Exh 10 Forecast Parameters'!$B$2:$H$5,4,TRUE)*Q4</f>
        <v>902.17902821179791</v>
      </c>
      <c r="R6" s="78">
        <f>HLOOKUP(R3,'Exh 10 Forecast Parameters'!$B$2:$H$5,4,TRUE)*R4</f>
        <v>929.31747555943684</v>
      </c>
      <c r="S6" s="78">
        <f>HLOOKUP(S3,'Exh 10 Forecast Parameters'!$B$2:$H$5,4,TRUE)*S4</f>
        <v>956.34016911375397</v>
      </c>
      <c r="T6" s="78">
        <f>HLOOKUP(T3,'Exh 10 Forecast Parameters'!$B$2:$H$5,4,TRUE)*T4</f>
        <v>983.18941936162241</v>
      </c>
      <c r="U6" s="78">
        <f>HLOOKUP(U3,'Exh 10 Forecast Parameters'!$B$2:$H$5,4,TRUE)*U4</f>
        <v>1009.8063233225802</v>
      </c>
    </row>
    <row r="7" spans="1:21" ht="12.95" customHeight="1" x14ac:dyDescent="0.25">
      <c r="A7" s="73"/>
      <c r="B7" s="73" t="s">
        <v>13</v>
      </c>
      <c r="C7" s="73"/>
      <c r="D7" s="73"/>
      <c r="E7" s="73"/>
      <c r="F7" s="83">
        <v>203.4</v>
      </c>
      <c r="G7" s="83">
        <v>334.1</v>
      </c>
      <c r="H7" s="83">
        <v>399.3</v>
      </c>
      <c r="I7" s="83">
        <v>434.1</v>
      </c>
      <c r="J7" s="83">
        <v>421.9</v>
      </c>
      <c r="K7" s="83">
        <v>422.9</v>
      </c>
      <c r="L7" s="83">
        <v>391</v>
      </c>
      <c r="M7" s="83">
        <v>401.2</v>
      </c>
      <c r="N7" s="83">
        <v>457</v>
      </c>
      <c r="O7" s="78">
        <f>HLOOKUP(O3,'Exh 10 Forecast Parameters'!$B$2:$H$6,5,TRUE)*O4</f>
        <v>448.82388431999993</v>
      </c>
      <c r="P7" s="78">
        <f>HLOOKUP(P3,'Exh 10 Forecast Parameters'!$B$2:$H$6,5,TRUE)*P4</f>
        <v>463.22529629617566</v>
      </c>
      <c r="Q7" s="78">
        <f>HLOOKUP(Q3,'Exh 10 Forecast Parameters'!$B$2:$H$6,5,TRUE)*Q4</f>
        <v>477.62419140624593</v>
      </c>
      <c r="R7" s="78">
        <f>HLOOKUP(R3,'Exh 10 Forecast Parameters'!$B$2:$H$6,5,TRUE)*R4</f>
        <v>491.99160470793709</v>
      </c>
      <c r="S7" s="78">
        <f>HLOOKUP(S3,'Exh 10 Forecast Parameters'!$B$2:$H$6,5,TRUE)*S4</f>
        <v>506.29773658963438</v>
      </c>
      <c r="T7" s="78">
        <f>HLOOKUP(T3,'Exh 10 Forecast Parameters'!$B$2:$H$6,5,TRUE)*T4</f>
        <v>520.51204554438834</v>
      </c>
      <c r="U7" s="78">
        <f>HLOOKUP(U3,'Exh 10 Forecast Parameters'!$B$2:$H$6,5,TRUE)*U4</f>
        <v>534.60334764136587</v>
      </c>
    </row>
    <row r="8" spans="1:21" ht="12.95" customHeight="1" x14ac:dyDescent="0.25">
      <c r="A8" s="73"/>
      <c r="B8" s="73" t="s">
        <v>14</v>
      </c>
      <c r="C8" s="73"/>
      <c r="D8" s="86"/>
      <c r="E8" s="73"/>
      <c r="F8" s="83">
        <f>SUM('Exh 6 Stores BS'!C4:E4)/4</f>
        <v>89.5</v>
      </c>
      <c r="G8" s="83">
        <f>SUM('Exh 6 Stores BS'!D4:F4)/4</f>
        <v>89.5</v>
      </c>
      <c r="H8" s="83">
        <f>SUM('Exh 6 Stores BS'!E4:G4)/4</f>
        <v>89.5</v>
      </c>
      <c r="I8" s="83">
        <f>SUM('Exh 6 Stores BS'!E4:H4)/4</f>
        <v>89.5</v>
      </c>
      <c r="J8" s="83">
        <f>SUM('Exh 6 Stores BS'!F4:I4)/4</f>
        <v>0</v>
      </c>
      <c r="K8" s="83">
        <f>SUM('Exh 6 Stores BS'!G4:J4)/4</f>
        <v>0</v>
      </c>
      <c r="L8" s="83">
        <f>SUM('Exh 6 Stores BS'!H4:K4)/4</f>
        <v>0</v>
      </c>
      <c r="M8" s="83">
        <f>SUM('Exh 6 Stores BS'!I4:L4)/4</f>
        <v>0</v>
      </c>
      <c r="N8" s="83">
        <f>SUM('Exh 6 Stores BS'!J4:M4)/4</f>
        <v>81.099999999999994</v>
      </c>
      <c r="O8" s="85">
        <f>SUM('Exh 6 Stores BS'!K4:N4)/4</f>
        <v>81.099999999999994</v>
      </c>
      <c r="P8" s="85">
        <f>SUM('Exh 6 Stores BS'!L4:O4)/4</f>
        <v>81.099999999999994</v>
      </c>
      <c r="Q8" s="85">
        <f>SUM('Exh 6 Stores BS'!M4:P4)/4</f>
        <v>81.099999999999994</v>
      </c>
      <c r="R8" s="85">
        <f>SUM('Exh 6 Stores BS'!N4:Q4)/4</f>
        <v>0</v>
      </c>
      <c r="S8" s="85">
        <f>SUM('Exh 6 Stores BS'!O4:R4)/4</f>
        <v>0</v>
      </c>
      <c r="T8" s="85">
        <f>SUM('Exh 6 Stores BS'!P4:S4)/4</f>
        <v>0</v>
      </c>
      <c r="U8" s="85">
        <f>SUM('Exh 6 Stores BS'!Q4:T4)/4</f>
        <v>0</v>
      </c>
    </row>
    <row r="9" spans="1:21" ht="12.95" customHeight="1" x14ac:dyDescent="0.25">
      <c r="A9" s="73"/>
      <c r="B9" s="73" t="s">
        <v>10</v>
      </c>
      <c r="C9" s="73"/>
      <c r="D9" s="73"/>
      <c r="E9" s="87"/>
      <c r="F9" s="83">
        <v>250</v>
      </c>
      <c r="G9" s="83">
        <f>F9</f>
        <v>250</v>
      </c>
      <c r="H9" s="83">
        <f>G9</f>
        <v>250</v>
      </c>
      <c r="I9" s="83">
        <f>H9</f>
        <v>250</v>
      </c>
      <c r="J9" s="83">
        <f>I9</f>
        <v>250</v>
      </c>
      <c r="K9" s="83">
        <f>J9</f>
        <v>250</v>
      </c>
      <c r="L9" s="83">
        <v>302</v>
      </c>
      <c r="M9" s="83">
        <f>L9</f>
        <v>302</v>
      </c>
      <c r="N9" s="83">
        <f>M9</f>
        <v>302</v>
      </c>
      <c r="O9" s="85">
        <f>N9</f>
        <v>302</v>
      </c>
      <c r="P9" s="85">
        <f>O9</f>
        <v>302</v>
      </c>
      <c r="Q9" s="85">
        <f>P9</f>
        <v>302</v>
      </c>
      <c r="R9" s="82">
        <f>ROUND(Q9*(1+$D$109)^6,0)</f>
        <v>340</v>
      </c>
      <c r="S9" s="82">
        <f>R9</f>
        <v>340</v>
      </c>
      <c r="T9" s="82">
        <f>S9</f>
        <v>340</v>
      </c>
      <c r="U9" s="82">
        <f>T9</f>
        <v>340</v>
      </c>
    </row>
    <row r="10" spans="1:21" ht="12.95" customHeight="1" x14ac:dyDescent="0.25">
      <c r="A10" s="73"/>
      <c r="B10" s="73"/>
      <c r="C10" s="73"/>
      <c r="D10" s="73"/>
      <c r="E10" s="73"/>
      <c r="F10" s="78">
        <f>F4-SUM(F5:F9)</f>
        <v>-358.80000000000018</v>
      </c>
      <c r="G10" s="78">
        <f>G4-SUM(G5:G9)</f>
        <v>131.29999999999973</v>
      </c>
      <c r="H10" s="78">
        <f t="shared" ref="H10:U10" si="0">H4-SUM(H5:H9)</f>
        <v>609.69999999999982</v>
      </c>
      <c r="I10" s="103">
        <f t="shared" si="0"/>
        <v>2125.1999999999998</v>
      </c>
      <c r="J10" s="103">
        <f t="shared" si="0"/>
        <v>2100.6999999999998</v>
      </c>
      <c r="K10" s="103">
        <f t="shared" si="0"/>
        <v>1753.8000000000002</v>
      </c>
      <c r="L10" s="78">
        <f t="shared" si="0"/>
        <v>1981.6000000000004</v>
      </c>
      <c r="M10" s="78">
        <f t="shared" si="0"/>
        <v>2331.5000000000005</v>
      </c>
      <c r="N10" s="78">
        <f t="shared" si="0"/>
        <v>1986.9</v>
      </c>
      <c r="O10" s="78">
        <f t="shared" si="0"/>
        <v>2066.7303685799998</v>
      </c>
      <c r="P10" s="78">
        <f t="shared" si="0"/>
        <v>2145.3380756166262</v>
      </c>
      <c r="Q10" s="78">
        <f t="shared" si="0"/>
        <v>2223.9320447590926</v>
      </c>
      <c r="R10" s="78">
        <f t="shared" si="0"/>
        <v>2345.4541756974904</v>
      </c>
      <c r="S10" s="78">
        <f t="shared" si="0"/>
        <v>2423.5418122184219</v>
      </c>
      <c r="T10" s="78">
        <f t="shared" si="0"/>
        <v>2501.128248596453</v>
      </c>
      <c r="U10" s="78">
        <f t="shared" si="0"/>
        <v>2578.0432725424553</v>
      </c>
    </row>
    <row r="11" spans="1:21" ht="12.95" customHeight="1" x14ac:dyDescent="0.25">
      <c r="A11" s="89">
        <v>2004</v>
      </c>
      <c r="B11" s="79"/>
      <c r="C11" s="80">
        <v>3</v>
      </c>
      <c r="D11" s="80">
        <v>17600</v>
      </c>
      <c r="E11" s="79"/>
      <c r="F11" s="79"/>
      <c r="G11" s="79">
        <v>1</v>
      </c>
      <c r="H11" s="79">
        <v>2</v>
      </c>
      <c r="I11" s="79">
        <v>3</v>
      </c>
      <c r="J11" s="79">
        <v>4</v>
      </c>
      <c r="K11" s="79">
        <v>5</v>
      </c>
      <c r="L11" s="79">
        <v>6</v>
      </c>
      <c r="M11" s="79">
        <v>7</v>
      </c>
      <c r="N11" s="79">
        <v>8</v>
      </c>
      <c r="O11" s="79">
        <v>9</v>
      </c>
      <c r="P11" s="79">
        <v>10</v>
      </c>
      <c r="Q11" s="79">
        <v>11</v>
      </c>
      <c r="R11" s="79">
        <v>12</v>
      </c>
      <c r="S11" s="79">
        <v>13</v>
      </c>
      <c r="T11" s="79">
        <v>14</v>
      </c>
      <c r="U11" s="79">
        <v>15</v>
      </c>
    </row>
    <row r="12" spans="1:21" ht="12.95" customHeight="1" x14ac:dyDescent="0.25">
      <c r="A12" s="73"/>
      <c r="B12" s="73" t="s">
        <v>24</v>
      </c>
      <c r="C12" s="73"/>
      <c r="D12" s="73"/>
      <c r="E12" s="73"/>
      <c r="F12" s="73"/>
      <c r="G12" s="83">
        <v>6661</v>
      </c>
      <c r="H12" s="83">
        <v>11907.4</v>
      </c>
      <c r="I12" s="83">
        <v>15157.8</v>
      </c>
      <c r="J12" s="83">
        <v>16487.5</v>
      </c>
      <c r="K12" s="83">
        <v>15445.6</v>
      </c>
      <c r="L12" s="83">
        <v>16187.3</v>
      </c>
      <c r="M12" s="83">
        <v>17278.900000000001</v>
      </c>
      <c r="N12" s="83">
        <v>17868.5</v>
      </c>
      <c r="O12" s="78">
        <f>N12*(1+HLOOKUP(O11,'Exh 10 Forecast Parameters'!$B$2:$H$3,2,TRUE))*(1+HLOOKUP(O$2,'Exh 4 Econ Indicators'!$B$2:$S$8,7,FALSE))</f>
        <v>18459.768665</v>
      </c>
      <c r="P12" s="78">
        <f>O12*(1+HLOOKUP(P11,'Exh 10 Forecast Parameters'!$B$2:$H$3,2,TRUE))*(1+HLOOKUP(P$2,'Exh 4 Econ Indicators'!$B$2:$S$8,7,FALSE))</f>
        <v>19052.087262153851</v>
      </c>
      <c r="Q12" s="78">
        <f>P12*(1+HLOOKUP(Q11,'Exh 10 Forecast Parameters'!$B$2:$H$3,2,TRUE))*(1+HLOOKUP(Q$2,'Exh 4 Econ Indicators'!$B$2:$S$8,7,FALSE))</f>
        <v>19644.302342610637</v>
      </c>
      <c r="R12" s="78">
        <f>Q12*(1+HLOOKUP(R11,'Exh 10 Forecast Parameters'!$B$2:$H$3,2,TRUE))*(1+HLOOKUP(R$2,'Exh 4 Econ Indicators'!$B$2:$S$8,7,FALSE))</f>
        <v>20235.222601378704</v>
      </c>
      <c r="S12" s="78">
        <f>R12*(1+HLOOKUP(S11,'Exh 10 Forecast Parameters'!$B$2:$H$3,2,TRUE))*(1+HLOOKUP(S$2,'Exh 4 Econ Indicators'!$B$2:$S$8,7,FALSE))</f>
        <v>20823.622404181591</v>
      </c>
      <c r="T12" s="78">
        <f>S12*(1+HLOOKUP(T11,'Exh 10 Forecast Parameters'!$B$2:$H$3,2,TRUE))*(1+HLOOKUP(T$2,'Exh 4 Econ Indicators'!$B$2:$S$8,7,FALSE))</f>
        <v>21408.245603178984</v>
      </c>
      <c r="U12" s="78">
        <f>T12*(1+HLOOKUP(U11,'Exh 10 Forecast Parameters'!$B$2:$H$3,2,TRUE))*(1+HLOOKUP(U$2,'Exh 4 Econ Indicators'!$B$2:$S$8,7,FALSE))</f>
        <v>21987.809628148243</v>
      </c>
    </row>
    <row r="13" spans="1:21" ht="12.95" customHeight="1" x14ac:dyDescent="0.25">
      <c r="A13" s="73"/>
      <c r="B13" s="73" t="s">
        <v>1</v>
      </c>
      <c r="C13" s="73"/>
      <c r="D13" s="73"/>
      <c r="E13" s="73"/>
      <c r="F13" s="73"/>
      <c r="G13" s="83">
        <v>4747.8</v>
      </c>
      <c r="H13" s="83">
        <v>7427.7</v>
      </c>
      <c r="I13" s="83">
        <v>7893.7</v>
      </c>
      <c r="J13" s="83">
        <v>7216.3</v>
      </c>
      <c r="K13" s="83">
        <v>6031.4</v>
      </c>
      <c r="L13" s="83">
        <v>6675</v>
      </c>
      <c r="M13" s="83">
        <v>6691.1</v>
      </c>
      <c r="N13" s="83">
        <v>7175.9</v>
      </c>
      <c r="O13" s="78">
        <f>HLOOKUP(O11,'Exh 10 Forecast Parameters'!$B$2:$H$4,3,TRUE)*O12</f>
        <v>7365.4476973350002</v>
      </c>
      <c r="P13" s="78">
        <f>HLOOKUP(P11,'Exh 10 Forecast Parameters'!$B$2:$H$4,3,TRUE)*P12</f>
        <v>7601.7828175993873</v>
      </c>
      <c r="Q13" s="78">
        <f>HLOOKUP(Q11,'Exh 10 Forecast Parameters'!$B$2:$H$4,3,TRUE)*Q12</f>
        <v>7838.0766347016452</v>
      </c>
      <c r="R13" s="78">
        <f>HLOOKUP(R11,'Exh 10 Forecast Parameters'!$B$2:$H$4,3,TRUE)*R12</f>
        <v>8073.8538179501029</v>
      </c>
      <c r="S13" s="78">
        <f>HLOOKUP(S11,'Exh 10 Forecast Parameters'!$B$2:$H$4,3,TRUE)*S12</f>
        <v>8308.6253392684557</v>
      </c>
      <c r="T13" s="78">
        <f>HLOOKUP(T11,'Exh 10 Forecast Parameters'!$B$2:$H$4,3,TRUE)*T12</f>
        <v>8541.8899956684145</v>
      </c>
      <c r="U13" s="78">
        <f>HLOOKUP(U11,'Exh 10 Forecast Parameters'!$B$2:$H$4,3,TRUE)*U12</f>
        <v>8773.1360416311491</v>
      </c>
    </row>
    <row r="14" spans="1:21" ht="12.95" customHeight="1" x14ac:dyDescent="0.25">
      <c r="A14" s="73"/>
      <c r="B14" s="73" t="s">
        <v>15</v>
      </c>
      <c r="C14" s="73"/>
      <c r="D14" s="73"/>
      <c r="E14" s="73"/>
      <c r="F14" s="73"/>
      <c r="G14" s="83">
        <v>1171.3</v>
      </c>
      <c r="H14" s="83">
        <v>2147.6999999999998</v>
      </c>
      <c r="I14" s="83">
        <v>2631.4</v>
      </c>
      <c r="J14" s="83">
        <v>2323.4</v>
      </c>
      <c r="K14" s="83">
        <v>2238.6</v>
      </c>
      <c r="L14" s="83">
        <v>2224.1999999999998</v>
      </c>
      <c r="M14" s="83">
        <v>2394.6999999999998</v>
      </c>
      <c r="N14" s="83">
        <v>2318.6999999999998</v>
      </c>
      <c r="O14" s="78">
        <f>HLOOKUP(O11,'Exh 10 Forecast Parameters'!$B$2:$H$5,4,TRUE)*O12</f>
        <v>2510.5285384399999</v>
      </c>
      <c r="P14" s="78">
        <f>HLOOKUP(P11,'Exh 10 Forecast Parameters'!$B$2:$H$5,4,TRUE)*P12</f>
        <v>2591.0838676529238</v>
      </c>
      <c r="Q14" s="78">
        <f>HLOOKUP(Q11,'Exh 10 Forecast Parameters'!$B$2:$H$5,4,TRUE)*Q12</f>
        <v>2671.6251185950468</v>
      </c>
      <c r="R14" s="78">
        <f>HLOOKUP(R11,'Exh 10 Forecast Parameters'!$B$2:$H$5,4,TRUE)*R12</f>
        <v>2751.9902737875041</v>
      </c>
      <c r="S14" s="78">
        <f>HLOOKUP(S11,'Exh 10 Forecast Parameters'!$B$2:$H$5,4,TRUE)*S12</f>
        <v>2832.0126469686966</v>
      </c>
      <c r="T14" s="78">
        <f>HLOOKUP(T11,'Exh 10 Forecast Parameters'!$B$2:$H$5,4,TRUE)*T12</f>
        <v>2911.5214020323419</v>
      </c>
      <c r="U14" s="78">
        <f>HLOOKUP(U11,'Exh 10 Forecast Parameters'!$B$2:$H$5,4,TRUE)*U12</f>
        <v>2990.3421094281612</v>
      </c>
    </row>
    <row r="15" spans="1:21" ht="12.95" customHeight="1" x14ac:dyDescent="0.25">
      <c r="A15" s="73"/>
      <c r="B15" s="73" t="s">
        <v>13</v>
      </c>
      <c r="C15" s="73"/>
      <c r="D15" s="73"/>
      <c r="E15" s="73"/>
      <c r="F15" s="73"/>
      <c r="G15" s="83">
        <v>684.6</v>
      </c>
      <c r="H15" s="83">
        <v>970.6</v>
      </c>
      <c r="I15" s="83">
        <v>1265.5999999999999</v>
      </c>
      <c r="J15" s="83">
        <v>1213</v>
      </c>
      <c r="K15" s="83">
        <v>1235</v>
      </c>
      <c r="L15" s="83">
        <v>1241</v>
      </c>
      <c r="M15" s="83">
        <v>1245</v>
      </c>
      <c r="N15" s="83">
        <v>1287</v>
      </c>
      <c r="O15" s="78">
        <f>HLOOKUP(O11,'Exh 10 Forecast Parameters'!$B$2:$H$6,5,TRUE)*O12</f>
        <v>1329.1033438799998</v>
      </c>
      <c r="P15" s="78">
        <f>HLOOKUP(P11,'Exh 10 Forecast Parameters'!$B$2:$H$6,5,TRUE)*P12</f>
        <v>1371.7502828750771</v>
      </c>
      <c r="Q15" s="78">
        <f>HLOOKUP(Q11,'Exh 10 Forecast Parameters'!$B$2:$H$6,5,TRUE)*Q12</f>
        <v>1414.3897686679659</v>
      </c>
      <c r="R15" s="78">
        <f>HLOOKUP(R11,'Exh 10 Forecast Parameters'!$B$2:$H$6,5,TRUE)*R12</f>
        <v>1456.9360272992665</v>
      </c>
      <c r="S15" s="78">
        <f>HLOOKUP(S11,'Exh 10 Forecast Parameters'!$B$2:$H$6,5,TRUE)*S12</f>
        <v>1499.3008131010745</v>
      </c>
      <c r="T15" s="78">
        <f>HLOOKUP(T11,'Exh 10 Forecast Parameters'!$B$2:$H$6,5,TRUE)*T12</f>
        <v>1541.3936834288868</v>
      </c>
      <c r="U15" s="78">
        <f>HLOOKUP(U11,'Exh 10 Forecast Parameters'!$B$2:$H$6,5,TRUE)*U12</f>
        <v>1583.1222932266735</v>
      </c>
    </row>
    <row r="16" spans="1:21" ht="12.95" customHeight="1" x14ac:dyDescent="0.25">
      <c r="A16" s="73"/>
      <c r="B16" s="73" t="s">
        <v>14</v>
      </c>
      <c r="C16" s="73"/>
      <c r="D16" s="73"/>
      <c r="E16" s="73"/>
      <c r="F16" s="82"/>
      <c r="G16" s="83">
        <f>SUM('Exh 6 Stores BS'!D12:F12)/4</f>
        <v>293.75</v>
      </c>
      <c r="H16" s="83">
        <f>SUM('Exh 6 Stores BS'!E12:G12)/4</f>
        <v>293.75</v>
      </c>
      <c r="I16" s="83">
        <f>SUM('Exh 6 Stores BS'!E12:H12)/4</f>
        <v>293.75</v>
      </c>
      <c r="J16" s="83">
        <f>SUM('Exh 6 Stores BS'!F12:I12)/4</f>
        <v>293.75</v>
      </c>
      <c r="K16" s="83">
        <f>SUM('Exh 6 Stores BS'!G12:J12)/4</f>
        <v>0</v>
      </c>
      <c r="L16" s="83">
        <f>SUM('Exh 6 Stores BS'!H12:K12)/4</f>
        <v>0</v>
      </c>
      <c r="M16" s="83">
        <f>SUM('Exh 6 Stores BS'!I12:L12)/4</f>
        <v>0</v>
      </c>
      <c r="N16" s="83">
        <f>SUM('Exh 6 Stores BS'!J12:M12)/4</f>
        <v>0</v>
      </c>
      <c r="O16" s="82">
        <f>SUM('Exh 6 Stores BS'!K12:N12)/4</f>
        <v>233.9</v>
      </c>
      <c r="P16" s="82">
        <f>SUM('Exh 6 Stores BS'!L12:O12)/4</f>
        <v>233.9</v>
      </c>
      <c r="Q16" s="82">
        <f>SUM('Exh 6 Stores BS'!M12:P12)/4</f>
        <v>233.9</v>
      </c>
      <c r="R16" s="82">
        <f>SUM('Exh 6 Stores BS'!N12:Q12)/4</f>
        <v>233.9</v>
      </c>
      <c r="S16" s="82">
        <f>SUM('Exh 6 Stores BS'!O12:R12)/4</f>
        <v>0</v>
      </c>
      <c r="T16" s="82">
        <f>SUM('Exh 6 Stores BS'!P12:S12)/4</f>
        <v>0</v>
      </c>
      <c r="U16" s="82">
        <f>SUM('Exh 6 Stores BS'!Q12:T12)/4</f>
        <v>0</v>
      </c>
    </row>
    <row r="17" spans="1:21" ht="12.95" customHeight="1" x14ac:dyDescent="0.25">
      <c r="A17" s="73"/>
      <c r="B17" s="73" t="s">
        <v>10</v>
      </c>
      <c r="C17" s="73"/>
      <c r="D17" s="73"/>
      <c r="E17" s="87"/>
      <c r="F17" s="88"/>
      <c r="G17" s="83">
        <v>830</v>
      </c>
      <c r="H17" s="83">
        <f>G17</f>
        <v>830</v>
      </c>
      <c r="I17" s="83">
        <f>H17</f>
        <v>830</v>
      </c>
      <c r="J17" s="83">
        <f>I17</f>
        <v>830</v>
      </c>
      <c r="K17" s="83">
        <f>J17</f>
        <v>830</v>
      </c>
      <c r="L17" s="83">
        <f>K17</f>
        <v>830</v>
      </c>
      <c r="M17" s="83">
        <v>1003</v>
      </c>
      <c r="N17" s="83">
        <f>M17</f>
        <v>1003</v>
      </c>
      <c r="O17" s="85">
        <f>N17</f>
        <v>1003</v>
      </c>
      <c r="P17" s="85">
        <f>O17</f>
        <v>1003</v>
      </c>
      <c r="Q17" s="85">
        <f>P17</f>
        <v>1003</v>
      </c>
      <c r="R17" s="85">
        <f>Q17</f>
        <v>1003</v>
      </c>
      <c r="S17" s="82">
        <f>ROUND(R17*(1+$D$109)^6,0)</f>
        <v>1130</v>
      </c>
      <c r="T17" s="85">
        <f>S17</f>
        <v>1130</v>
      </c>
      <c r="U17" s="85">
        <f>T17</f>
        <v>1130</v>
      </c>
    </row>
    <row r="18" spans="1:21" ht="12.95" customHeight="1" x14ac:dyDescent="0.25">
      <c r="A18" s="73"/>
      <c r="B18" s="73"/>
      <c r="C18" s="73"/>
      <c r="D18" s="73"/>
      <c r="E18" s="73"/>
      <c r="F18" s="73"/>
      <c r="G18" s="78">
        <f>G12-SUM(G13:G17)</f>
        <v>-1066.4500000000007</v>
      </c>
      <c r="H18" s="78">
        <f t="shared" ref="H18:U18" si="1">H12-SUM(H13:H17)</f>
        <v>237.64999999999964</v>
      </c>
      <c r="I18" s="78">
        <f t="shared" si="1"/>
        <v>2243.3499999999985</v>
      </c>
      <c r="J18" s="78">
        <f t="shared" si="1"/>
        <v>4611.0499999999993</v>
      </c>
      <c r="K18" s="78">
        <f t="shared" si="1"/>
        <v>5110.6000000000004</v>
      </c>
      <c r="L18" s="78">
        <f t="shared" si="1"/>
        <v>5217.0999999999985</v>
      </c>
      <c r="M18" s="78">
        <f t="shared" si="1"/>
        <v>5945.1000000000022</v>
      </c>
      <c r="N18" s="78">
        <f t="shared" si="1"/>
        <v>6083.9000000000015</v>
      </c>
      <c r="O18" s="78">
        <f t="shared" si="1"/>
        <v>6017.789085344999</v>
      </c>
      <c r="P18" s="78">
        <f t="shared" si="1"/>
        <v>6250.5702940264637</v>
      </c>
      <c r="Q18" s="78">
        <f t="shared" si="1"/>
        <v>6483.3108206459783</v>
      </c>
      <c r="R18" s="78">
        <f t="shared" si="1"/>
        <v>6715.5424823418307</v>
      </c>
      <c r="S18" s="78">
        <f t="shared" si="1"/>
        <v>7053.6836048433652</v>
      </c>
      <c r="T18" s="78">
        <f t="shared" si="1"/>
        <v>7283.4405220493409</v>
      </c>
      <c r="U18" s="78">
        <f t="shared" si="1"/>
        <v>7511.20918386226</v>
      </c>
    </row>
    <row r="19" spans="1:21" ht="12.95" customHeight="1" x14ac:dyDescent="0.25">
      <c r="A19" s="89">
        <v>2005</v>
      </c>
      <c r="B19" s="79"/>
      <c r="C19" s="80">
        <v>4</v>
      </c>
      <c r="D19" s="80">
        <v>18500</v>
      </c>
      <c r="E19" s="79"/>
      <c r="F19" s="79"/>
      <c r="G19" s="79"/>
      <c r="H19" s="79">
        <v>1</v>
      </c>
      <c r="I19" s="79">
        <v>2</v>
      </c>
      <c r="J19" s="79">
        <v>3</v>
      </c>
      <c r="K19" s="79">
        <v>4</v>
      </c>
      <c r="L19" s="79">
        <v>5</v>
      </c>
      <c r="M19" s="79">
        <v>6</v>
      </c>
      <c r="N19" s="79">
        <v>7</v>
      </c>
      <c r="O19" s="79">
        <v>8</v>
      </c>
      <c r="P19" s="79">
        <v>9</v>
      </c>
      <c r="Q19" s="79">
        <v>10</v>
      </c>
      <c r="R19" s="79">
        <v>11</v>
      </c>
      <c r="S19" s="79">
        <v>12</v>
      </c>
      <c r="T19" s="79">
        <v>13</v>
      </c>
      <c r="U19" s="79">
        <v>14</v>
      </c>
    </row>
    <row r="20" spans="1:21" ht="12.95" customHeight="1" x14ac:dyDescent="0.25">
      <c r="A20" s="73"/>
      <c r="B20" s="73" t="s">
        <v>24</v>
      </c>
      <c r="C20" s="73"/>
      <c r="D20" s="73"/>
      <c r="E20" s="73"/>
      <c r="F20" s="73"/>
      <c r="G20" s="73"/>
      <c r="H20" s="83">
        <v>9569.7000000000007</v>
      </c>
      <c r="I20" s="83">
        <v>16651</v>
      </c>
      <c r="J20" s="83">
        <v>19785.099999999999</v>
      </c>
      <c r="K20" s="83">
        <v>20950.599999999999</v>
      </c>
      <c r="L20" s="83">
        <v>22847</v>
      </c>
      <c r="M20" s="83">
        <v>24450.9</v>
      </c>
      <c r="N20" s="83">
        <v>24499.4</v>
      </c>
      <c r="O20" s="78">
        <f>N20*(1+HLOOKUP(O19,'Exh 10 Forecast Parameters'!$B$2:$H$3,2,TRUE))*(1+HLOOKUP(O$2,'Exh 4 Econ Indicators'!$B$2:$S$8,7,FALSE))</f>
        <v>25310.085146000001</v>
      </c>
      <c r="P20" s="78">
        <f>O20*(1+HLOOKUP(P19,'Exh 10 Forecast Parameters'!$B$2:$H$3,2,TRUE))*(1+HLOOKUP(P$2,'Exh 4 Econ Indicators'!$B$2:$S$8,7,FALSE))</f>
        <v>26122.209848079699</v>
      </c>
      <c r="Q20" s="78">
        <f>P20*(1+HLOOKUP(Q19,'Exh 10 Forecast Parameters'!$B$2:$H$3,2,TRUE))*(1+HLOOKUP(Q$2,'Exh 4 Econ Indicators'!$B$2:$S$8,7,FALSE))</f>
        <v>26934.192618997404</v>
      </c>
      <c r="R20" s="78">
        <f>Q20*(1+HLOOKUP(R19,'Exh 10 Forecast Parameters'!$B$2:$H$3,2,TRUE))*(1+HLOOKUP(R$2,'Exh 4 Econ Indicators'!$B$2:$S$8,7,FALSE))</f>
        <v>27744.400067169459</v>
      </c>
      <c r="S20" s="78">
        <f>R20*(1+HLOOKUP(S19,'Exh 10 Forecast Parameters'!$B$2:$H$3,2,TRUE))*(1+HLOOKUP(S$2,'Exh 4 Econ Indicators'!$B$2:$S$8,7,FALSE))</f>
        <v>28551.151732322611</v>
      </c>
      <c r="T20" s="78">
        <f>S20*(1+HLOOKUP(T19,'Exh 10 Forecast Parameters'!$B$2:$H$3,2,TRUE))*(1+HLOOKUP(T$2,'Exh 4 Econ Indicators'!$B$2:$S$8,7,FALSE))</f>
        <v>29352.725317207562</v>
      </c>
      <c r="U20" s="78">
        <f>T20*(1+HLOOKUP(U19,'Exh 10 Forecast Parameters'!$B$2:$H$3,2,TRUE))*(1+HLOOKUP(U$2,'Exh 4 Econ Indicators'!$B$2:$S$8,7,FALSE))</f>
        <v>30147.362296995005</v>
      </c>
    </row>
    <row r="21" spans="1:21" ht="12.95" customHeight="1" x14ac:dyDescent="0.25">
      <c r="A21" s="73"/>
      <c r="B21" s="73" t="s">
        <v>1</v>
      </c>
      <c r="C21" s="73"/>
      <c r="D21" s="73"/>
      <c r="E21" s="73"/>
      <c r="F21" s="73"/>
      <c r="G21" s="73"/>
      <c r="H21" s="83">
        <v>6977.8</v>
      </c>
      <c r="I21" s="83">
        <v>10916.8</v>
      </c>
      <c r="J21" s="83">
        <v>11430.2</v>
      </c>
      <c r="K21" s="83">
        <v>8499.1</v>
      </c>
      <c r="L21" s="83">
        <v>9387.2999999999993</v>
      </c>
      <c r="M21" s="83">
        <v>9856.7999999999993</v>
      </c>
      <c r="N21" s="83">
        <v>9041.7999999999993</v>
      </c>
      <c r="O21" s="78">
        <f>HLOOKUP(O19,'Exh 10 Forecast Parameters'!$B$2:$H$4,3,TRUE)*O20</f>
        <v>10098.723973254</v>
      </c>
      <c r="P21" s="78">
        <f>HLOOKUP(P19,'Exh 10 Forecast Parameters'!$B$2:$H$4,3,TRUE)*P20</f>
        <v>10422.761729383801</v>
      </c>
      <c r="Q21" s="78">
        <f>HLOOKUP(Q19,'Exh 10 Forecast Parameters'!$B$2:$H$4,3,TRUE)*Q20</f>
        <v>10746.742854979964</v>
      </c>
      <c r="R21" s="78">
        <f>HLOOKUP(R19,'Exh 10 Forecast Parameters'!$B$2:$H$4,3,TRUE)*R20</f>
        <v>11070.015626800614</v>
      </c>
      <c r="S21" s="78">
        <f>HLOOKUP(S19,'Exh 10 Forecast Parameters'!$B$2:$H$4,3,TRUE)*S20</f>
        <v>11391.909541196723</v>
      </c>
      <c r="T21" s="78">
        <f>HLOOKUP(T19,'Exh 10 Forecast Parameters'!$B$2:$H$4,3,TRUE)*T20</f>
        <v>11711.737401565817</v>
      </c>
      <c r="U21" s="78">
        <f>HLOOKUP(U19,'Exh 10 Forecast Parameters'!$B$2:$H$4,3,TRUE)*U20</f>
        <v>12028.797556501007</v>
      </c>
    </row>
    <row r="22" spans="1:21" ht="12.95" customHeight="1" x14ac:dyDescent="0.25">
      <c r="A22" s="73"/>
      <c r="B22" s="73" t="s">
        <v>15</v>
      </c>
      <c r="C22" s="73"/>
      <c r="D22" s="73"/>
      <c r="E22" s="73"/>
      <c r="F22" s="73"/>
      <c r="G22" s="78"/>
      <c r="H22" s="83">
        <v>1953.2</v>
      </c>
      <c r="I22" s="83">
        <v>2976.6</v>
      </c>
      <c r="J22" s="83">
        <v>3371.2</v>
      </c>
      <c r="K22" s="83">
        <v>3039.2</v>
      </c>
      <c r="L22" s="83">
        <v>3020.6</v>
      </c>
      <c r="M22" s="83">
        <v>3228.4</v>
      </c>
      <c r="N22" s="83">
        <v>3693</v>
      </c>
      <c r="O22" s="78">
        <f>HLOOKUP(O19,'Exh 10 Forecast Parameters'!$B$2:$H$5,4,TRUE)*O20</f>
        <v>3442.1715798560003</v>
      </c>
      <c r="P22" s="78">
        <f>HLOOKUP(P19,'Exh 10 Forecast Parameters'!$B$2:$H$5,4,TRUE)*P20</f>
        <v>3552.6205393388395</v>
      </c>
      <c r="Q22" s="78">
        <f>HLOOKUP(Q19,'Exh 10 Forecast Parameters'!$B$2:$H$5,4,TRUE)*Q20</f>
        <v>3663.0501961836471</v>
      </c>
      <c r="R22" s="78">
        <f>HLOOKUP(R19,'Exh 10 Forecast Parameters'!$B$2:$H$5,4,TRUE)*R20</f>
        <v>3773.2384091350468</v>
      </c>
      <c r="S22" s="78">
        <f>HLOOKUP(S19,'Exh 10 Forecast Parameters'!$B$2:$H$5,4,TRUE)*S20</f>
        <v>3882.9566355958755</v>
      </c>
      <c r="T22" s="78">
        <f>HLOOKUP(T19,'Exh 10 Forecast Parameters'!$B$2:$H$5,4,TRUE)*T20</f>
        <v>3991.9706431402287</v>
      </c>
      <c r="U22" s="78">
        <f>HLOOKUP(U19,'Exh 10 Forecast Parameters'!$B$2:$H$5,4,TRUE)*U20</f>
        <v>4100.0412723913205</v>
      </c>
    </row>
    <row r="23" spans="1:21" ht="12.95" customHeight="1" x14ac:dyDescent="0.25">
      <c r="A23" s="73"/>
      <c r="B23" s="73" t="s">
        <v>13</v>
      </c>
      <c r="C23" s="73"/>
      <c r="D23" s="73"/>
      <c r="E23" s="73"/>
      <c r="F23" s="73"/>
      <c r="G23" s="78"/>
      <c r="H23" s="83">
        <v>1040.9000000000001</v>
      </c>
      <c r="I23" s="83">
        <v>1487.6</v>
      </c>
      <c r="J23" s="83">
        <v>1587.2</v>
      </c>
      <c r="K23" s="83">
        <v>1598</v>
      </c>
      <c r="L23" s="83">
        <v>1605.4</v>
      </c>
      <c r="M23" s="83">
        <v>1645</v>
      </c>
      <c r="N23" s="83">
        <v>1793.4</v>
      </c>
      <c r="O23" s="78">
        <f>HLOOKUP(O19,'Exh 10 Forecast Parameters'!$B$2:$H$6,5,TRUE)*O20</f>
        <v>1822.326130512</v>
      </c>
      <c r="P23" s="78">
        <f>HLOOKUP(P19,'Exh 10 Forecast Parameters'!$B$2:$H$6,5,TRUE)*P20</f>
        <v>1880.7991090617381</v>
      </c>
      <c r="Q23" s="78">
        <f>HLOOKUP(Q19,'Exh 10 Forecast Parameters'!$B$2:$H$6,5,TRUE)*Q20</f>
        <v>1939.2618685678128</v>
      </c>
      <c r="R23" s="78">
        <f>HLOOKUP(R19,'Exh 10 Forecast Parameters'!$B$2:$H$6,5,TRUE)*R20</f>
        <v>1997.5968048362008</v>
      </c>
      <c r="S23" s="78">
        <f>HLOOKUP(S19,'Exh 10 Forecast Parameters'!$B$2:$H$6,5,TRUE)*S20</f>
        <v>2055.6829247272276</v>
      </c>
      <c r="T23" s="78">
        <f>HLOOKUP(T19,'Exh 10 Forecast Parameters'!$B$2:$H$6,5,TRUE)*T20</f>
        <v>2113.3962228389441</v>
      </c>
      <c r="U23" s="78">
        <f>HLOOKUP(U19,'Exh 10 Forecast Parameters'!$B$2:$H$6,5,TRUE)*U20</f>
        <v>2170.6100853836401</v>
      </c>
    </row>
    <row r="24" spans="1:21" ht="12.95" customHeight="1" x14ac:dyDescent="0.25">
      <c r="A24" s="73"/>
      <c r="B24" s="73" t="s">
        <v>14</v>
      </c>
      <c r="C24" s="73"/>
      <c r="D24" s="86"/>
      <c r="E24" s="73"/>
      <c r="F24" s="82"/>
      <c r="G24" s="82"/>
      <c r="H24" s="83">
        <f>SUM('Exh 6 Stores BS'!E20:G20)/4</f>
        <v>453.5</v>
      </c>
      <c r="I24" s="83">
        <f>SUM('Exh 6 Stores BS'!E20:H20)/4</f>
        <v>453.5</v>
      </c>
      <c r="J24" s="83">
        <f>SUM('Exh 6 Stores BS'!F20:I20)/4</f>
        <v>453.5</v>
      </c>
      <c r="K24" s="83">
        <f>SUM('Exh 6 Stores BS'!G20:J20)/4</f>
        <v>453.5</v>
      </c>
      <c r="L24" s="83">
        <f>SUM('Exh 6 Stores BS'!H20:K20)/4</f>
        <v>0</v>
      </c>
      <c r="M24" s="83">
        <f>SUM('Exh 6 Stores BS'!I20:L20)/4</f>
        <v>0</v>
      </c>
      <c r="N24" s="83">
        <f>SUM('Exh 6 Stores BS'!J20:M20)/4</f>
        <v>0</v>
      </c>
      <c r="O24" s="82">
        <f>SUM('Exh 6 Stores BS'!K20:N20)/4</f>
        <v>0</v>
      </c>
      <c r="P24" s="82">
        <f>SUM('Exh 6 Stores BS'!L20:O20)/4</f>
        <v>376.58199349166659</v>
      </c>
      <c r="Q24" s="82">
        <f>SUM('Exh 6 Stores BS'!M20:P20)/4</f>
        <v>376.58199349166659</v>
      </c>
      <c r="R24" s="82">
        <f>SUM('Exh 6 Stores BS'!N20:Q20)/4</f>
        <v>376.58199349166659</v>
      </c>
      <c r="S24" s="82">
        <f>SUM('Exh 6 Stores BS'!O20:R20)/4</f>
        <v>376.58199349166659</v>
      </c>
      <c r="T24" s="82">
        <f>SUM('Exh 6 Stores BS'!P20:S20)/4</f>
        <v>0</v>
      </c>
      <c r="U24" s="82">
        <f>SUM('Exh 6 Stores BS'!Q20:T20)/4</f>
        <v>0</v>
      </c>
    </row>
    <row r="25" spans="1:21" ht="12.95" customHeight="1" x14ac:dyDescent="0.25">
      <c r="A25" s="73"/>
      <c r="B25" s="73" t="s">
        <v>10</v>
      </c>
      <c r="C25" s="73"/>
      <c r="D25" s="73"/>
      <c r="E25" s="87"/>
      <c r="F25" s="82"/>
      <c r="G25" s="82"/>
      <c r="H25" s="83">
        <v>1250</v>
      </c>
      <c r="I25" s="83">
        <f>H25</f>
        <v>1250</v>
      </c>
      <c r="J25" s="83">
        <f>I25</f>
        <v>1250</v>
      </c>
      <c r="K25" s="83">
        <f>J25</f>
        <v>1250</v>
      </c>
      <c r="L25" s="83">
        <f>K25</f>
        <v>1250</v>
      </c>
      <c r="M25" s="83">
        <f>L25</f>
        <v>1250</v>
      </c>
      <c r="N25" s="83">
        <v>1510</v>
      </c>
      <c r="O25" s="85">
        <f>N25</f>
        <v>1510</v>
      </c>
      <c r="P25" s="85">
        <f>O25</f>
        <v>1510</v>
      </c>
      <c r="Q25" s="85">
        <f>P25</f>
        <v>1510</v>
      </c>
      <c r="R25" s="85">
        <f>Q25</f>
        <v>1510</v>
      </c>
      <c r="S25" s="85">
        <f>R25</f>
        <v>1510</v>
      </c>
      <c r="T25" s="82">
        <f>ROUND(S25*(1+$D$109)^6,0)</f>
        <v>1701</v>
      </c>
      <c r="U25" s="85">
        <f>T25</f>
        <v>1701</v>
      </c>
    </row>
    <row r="26" spans="1:21" ht="12.95" customHeight="1" x14ac:dyDescent="0.25">
      <c r="A26" s="73"/>
      <c r="B26" s="73"/>
      <c r="C26" s="73"/>
      <c r="D26" s="73"/>
      <c r="E26" s="73"/>
      <c r="F26" s="73"/>
      <c r="G26" s="73"/>
      <c r="H26" s="78">
        <f>H20-SUM(H21:H25)</f>
        <v>-2105.6999999999989</v>
      </c>
      <c r="I26" s="78">
        <f t="shared" ref="I26:U26" si="2">I20-SUM(I21:I25)</f>
        <v>-433.5</v>
      </c>
      <c r="J26" s="78">
        <f t="shared" si="2"/>
        <v>1692.9999999999964</v>
      </c>
      <c r="K26" s="78">
        <f t="shared" si="2"/>
        <v>6110.7999999999993</v>
      </c>
      <c r="L26" s="78">
        <f t="shared" si="2"/>
        <v>7583.7000000000007</v>
      </c>
      <c r="M26" s="78">
        <f t="shared" si="2"/>
        <v>8470.7000000000025</v>
      </c>
      <c r="N26" s="78">
        <f t="shared" si="2"/>
        <v>8461.2000000000025</v>
      </c>
      <c r="O26" s="78">
        <f t="shared" si="2"/>
        <v>8436.8634623780017</v>
      </c>
      <c r="P26" s="78">
        <f t="shared" si="2"/>
        <v>8379.446476803656</v>
      </c>
      <c r="Q26" s="78">
        <f t="shared" si="2"/>
        <v>8698.5557057743135</v>
      </c>
      <c r="R26" s="78">
        <f t="shared" si="2"/>
        <v>9016.9672329059322</v>
      </c>
      <c r="S26" s="78">
        <f t="shared" si="2"/>
        <v>9334.0206373111178</v>
      </c>
      <c r="T26" s="78">
        <f t="shared" si="2"/>
        <v>9834.6210496625717</v>
      </c>
      <c r="U26" s="78">
        <f t="shared" si="2"/>
        <v>10146.913382719038</v>
      </c>
    </row>
    <row r="27" spans="1:21" ht="12.95" customHeight="1" x14ac:dyDescent="0.25">
      <c r="A27" s="89">
        <v>2006</v>
      </c>
      <c r="B27" s="79"/>
      <c r="C27" s="80">
        <v>5</v>
      </c>
      <c r="D27" s="80">
        <v>21100</v>
      </c>
      <c r="E27" s="79"/>
      <c r="F27" s="79"/>
      <c r="G27" s="79"/>
      <c r="H27" s="79"/>
      <c r="I27" s="79">
        <v>1</v>
      </c>
      <c r="J27" s="79">
        <v>2</v>
      </c>
      <c r="K27" s="79">
        <v>3</v>
      </c>
      <c r="L27" s="79">
        <v>4</v>
      </c>
      <c r="M27" s="79">
        <v>5</v>
      </c>
      <c r="N27" s="79">
        <v>6</v>
      </c>
      <c r="O27" s="79">
        <v>7</v>
      </c>
      <c r="P27" s="79">
        <v>8</v>
      </c>
      <c r="Q27" s="79">
        <v>9</v>
      </c>
      <c r="R27" s="79">
        <v>10</v>
      </c>
      <c r="S27" s="79">
        <v>11</v>
      </c>
      <c r="T27" s="79">
        <v>12</v>
      </c>
      <c r="U27" s="79">
        <v>13</v>
      </c>
    </row>
    <row r="28" spans="1:21" ht="12.95" customHeight="1" x14ac:dyDescent="0.25">
      <c r="A28" s="73"/>
      <c r="B28" s="73" t="s">
        <v>24</v>
      </c>
      <c r="C28" s="73"/>
      <c r="D28" s="73"/>
      <c r="E28" s="73"/>
      <c r="F28" s="73"/>
      <c r="G28" s="73"/>
      <c r="H28" s="73"/>
      <c r="I28" s="83">
        <v>13582.9</v>
      </c>
      <c r="J28" s="83">
        <v>21142</v>
      </c>
      <c r="K28" s="83">
        <v>23592.400000000001</v>
      </c>
      <c r="L28" s="83">
        <v>29701.9</v>
      </c>
      <c r="M28" s="83">
        <v>34105.300000000003</v>
      </c>
      <c r="N28" s="83">
        <v>34824</v>
      </c>
      <c r="O28" s="78">
        <f>N28*(1+HLOOKUP(O27,'Exh 10 Forecast Parameters'!$B$2:$H$3,2,TRUE))*(1+HLOOKUP(O$2,'Exh 4 Econ Indicators'!$B$2:$S$8,7,FALSE))</f>
        <v>35976.326159999997</v>
      </c>
      <c r="P28" s="78">
        <f>O28*(1+HLOOKUP(P27,'Exh 10 Forecast Parameters'!$B$2:$H$3,2,TRUE))*(1+HLOOKUP(P$2,'Exh 4 Econ Indicators'!$B$2:$S$8,7,FALSE))</f>
        <v>37130.698537495911</v>
      </c>
      <c r="Q28" s="78">
        <f>P28*(1+HLOOKUP(Q27,'Exh 10 Forecast Parameters'!$B$2:$H$3,2,TRUE))*(1+HLOOKUP(Q$2,'Exh 4 Econ Indicators'!$B$2:$S$8,7,FALSE))</f>
        <v>38284.869170835431</v>
      </c>
      <c r="R28" s="78">
        <f>Q28*(1+HLOOKUP(R27,'Exh 10 Forecast Parameters'!$B$2:$H$3,2,TRUE))*(1+HLOOKUP(R$2,'Exh 4 Econ Indicators'!$B$2:$S$8,7,FALSE))</f>
        <v>39436.516320363327</v>
      </c>
      <c r="S28" s="78">
        <f>R28*(1+HLOOKUP(S27,'Exh 10 Forecast Parameters'!$B$2:$H$3,2,TRUE))*(1+HLOOKUP(S$2,'Exh 4 Econ Indicators'!$B$2:$S$8,7,FALSE))</f>
        <v>40583.251341926851</v>
      </c>
      <c r="T28" s="78">
        <f>S28*(1+HLOOKUP(T27,'Exh 10 Forecast Parameters'!$B$2:$H$3,2,TRUE))*(1+HLOOKUP(T$2,'Exh 4 Econ Indicators'!$B$2:$S$8,7,FALSE))</f>
        <v>41722.626123351438</v>
      </c>
      <c r="U28" s="78">
        <f>T28*(1+HLOOKUP(U27,'Exh 10 Forecast Parameters'!$B$2:$H$3,2,TRUE))*(1+HLOOKUP(U$2,'Exh 4 Econ Indicators'!$B$2:$S$8,7,FALSE))</f>
        <v>42852.141057762805</v>
      </c>
    </row>
    <row r="29" spans="1:21" ht="12.95" customHeight="1" x14ac:dyDescent="0.25">
      <c r="A29" s="73"/>
      <c r="B29" s="73" t="s">
        <v>1</v>
      </c>
      <c r="C29" s="73"/>
      <c r="D29" s="73"/>
      <c r="E29" s="73"/>
      <c r="F29" s="73"/>
      <c r="G29" s="73"/>
      <c r="H29" s="73"/>
      <c r="I29" s="83">
        <v>9526.1</v>
      </c>
      <c r="J29" s="83">
        <v>11229.4</v>
      </c>
      <c r="K29" s="83">
        <v>13594.4</v>
      </c>
      <c r="L29" s="83">
        <v>9902.2999999999993</v>
      </c>
      <c r="M29" s="83">
        <v>13259</v>
      </c>
      <c r="N29" s="83">
        <v>13931.8</v>
      </c>
      <c r="O29" s="78">
        <f>HLOOKUP(O27,'Exh 10 Forecast Parameters'!$B$2:$H$4,3,TRUE)*O28</f>
        <v>14354.554137839999</v>
      </c>
      <c r="P29" s="78">
        <f>HLOOKUP(P27,'Exh 10 Forecast Parameters'!$B$2:$H$4,3,TRUE)*P28</f>
        <v>14815.14871646087</v>
      </c>
      <c r="Q29" s="78">
        <f>HLOOKUP(Q27,'Exh 10 Forecast Parameters'!$B$2:$H$4,3,TRUE)*Q28</f>
        <v>15275.662799163338</v>
      </c>
      <c r="R29" s="78">
        <f>HLOOKUP(R27,'Exh 10 Forecast Parameters'!$B$2:$H$4,3,TRUE)*R28</f>
        <v>15735.170011824968</v>
      </c>
      <c r="S29" s="78">
        <f>HLOOKUP(S27,'Exh 10 Forecast Parameters'!$B$2:$H$4,3,TRUE)*S28</f>
        <v>16192.717285428815</v>
      </c>
      <c r="T29" s="78">
        <f>HLOOKUP(T27,'Exh 10 Forecast Parameters'!$B$2:$H$4,3,TRUE)*T28</f>
        <v>16647.327823217223</v>
      </c>
      <c r="U29" s="78">
        <f>HLOOKUP(U27,'Exh 10 Forecast Parameters'!$B$2:$H$4,3,TRUE)*U28</f>
        <v>17098.004282047361</v>
      </c>
    </row>
    <row r="30" spans="1:21" ht="12.95" customHeight="1" x14ac:dyDescent="0.25">
      <c r="A30" s="73"/>
      <c r="B30" s="73" t="s">
        <v>15</v>
      </c>
      <c r="C30" s="73"/>
      <c r="D30" s="73"/>
      <c r="E30" s="73"/>
      <c r="F30" s="73"/>
      <c r="G30" s="78"/>
      <c r="H30" s="78"/>
      <c r="I30" s="83">
        <v>2766.6</v>
      </c>
      <c r="J30" s="83">
        <v>4016.3</v>
      </c>
      <c r="K30" s="83">
        <v>4236.5</v>
      </c>
      <c r="L30" s="83">
        <v>3780.1</v>
      </c>
      <c r="M30" s="83">
        <v>4895.1000000000004</v>
      </c>
      <c r="N30" s="83">
        <v>4946.3</v>
      </c>
      <c r="O30" s="78">
        <f>HLOOKUP(O27,'Exh 10 Forecast Parameters'!$B$2:$H$5,4,TRUE)*O28</f>
        <v>4892.7803577599998</v>
      </c>
      <c r="P30" s="78">
        <f>HLOOKUP(P27,'Exh 10 Forecast Parameters'!$B$2:$H$5,4,TRUE)*P28</f>
        <v>5049.7750010994441</v>
      </c>
      <c r="Q30" s="78">
        <f>HLOOKUP(Q27,'Exh 10 Forecast Parameters'!$B$2:$H$5,4,TRUE)*Q28</f>
        <v>5206.7422072336194</v>
      </c>
      <c r="R30" s="78">
        <f>HLOOKUP(R27,'Exh 10 Forecast Parameters'!$B$2:$H$5,4,TRUE)*R28</f>
        <v>5363.3662195694133</v>
      </c>
      <c r="S30" s="78">
        <f>HLOOKUP(S27,'Exh 10 Forecast Parameters'!$B$2:$H$5,4,TRUE)*S28</f>
        <v>5519.3221825020519</v>
      </c>
      <c r="T30" s="78">
        <f>HLOOKUP(T27,'Exh 10 Forecast Parameters'!$B$2:$H$5,4,TRUE)*T28</f>
        <v>5674.2771527757959</v>
      </c>
      <c r="U30" s="78">
        <f>HLOOKUP(U27,'Exh 10 Forecast Parameters'!$B$2:$H$5,4,TRUE)*U28</f>
        <v>5827.8911838557415</v>
      </c>
    </row>
    <row r="31" spans="1:21" ht="12.95" customHeight="1" x14ac:dyDescent="0.25">
      <c r="A31" s="73"/>
      <c r="B31" s="73" t="s">
        <v>13</v>
      </c>
      <c r="C31" s="73"/>
      <c r="D31" s="73"/>
      <c r="E31" s="73"/>
      <c r="F31" s="73"/>
      <c r="G31" s="78"/>
      <c r="H31" s="78"/>
      <c r="I31" s="83">
        <v>1400.2</v>
      </c>
      <c r="J31" s="83">
        <v>1784.1</v>
      </c>
      <c r="K31" s="83">
        <v>1963.8</v>
      </c>
      <c r="L31" s="83">
        <v>2013.8</v>
      </c>
      <c r="M31" s="83">
        <v>2327.3000000000002</v>
      </c>
      <c r="N31" s="83">
        <v>2287.3000000000002</v>
      </c>
      <c r="O31" s="78">
        <f>HLOOKUP(O27,'Exh 10 Forecast Parameters'!$B$2:$H$6,5,TRUE)*O28</f>
        <v>2590.2954835199994</v>
      </c>
      <c r="P31" s="78">
        <f>HLOOKUP(P27,'Exh 10 Forecast Parameters'!$B$2:$H$6,5,TRUE)*P28</f>
        <v>2673.4102946997054</v>
      </c>
      <c r="Q31" s="78">
        <f>HLOOKUP(Q27,'Exh 10 Forecast Parameters'!$B$2:$H$6,5,TRUE)*Q28</f>
        <v>2756.5105803001507</v>
      </c>
      <c r="R31" s="78">
        <f>HLOOKUP(R27,'Exh 10 Forecast Parameters'!$B$2:$H$6,5,TRUE)*R28</f>
        <v>2839.4291750661591</v>
      </c>
      <c r="S31" s="78">
        <f>HLOOKUP(S27,'Exh 10 Forecast Parameters'!$B$2:$H$6,5,TRUE)*S28</f>
        <v>2921.9940966187332</v>
      </c>
      <c r="T31" s="78">
        <f>HLOOKUP(T27,'Exh 10 Forecast Parameters'!$B$2:$H$6,5,TRUE)*T28</f>
        <v>3004.0290808813033</v>
      </c>
      <c r="U31" s="78">
        <f>HLOOKUP(U27,'Exh 10 Forecast Parameters'!$B$2:$H$6,5,TRUE)*U28</f>
        <v>3085.3541561589218</v>
      </c>
    </row>
    <row r="32" spans="1:21" ht="12.95" customHeight="1" x14ac:dyDescent="0.25">
      <c r="A32" s="73"/>
      <c r="B32" s="73" t="s">
        <v>14</v>
      </c>
      <c r="C32" s="73"/>
      <c r="D32" s="86"/>
      <c r="E32" s="73"/>
      <c r="F32" s="82"/>
      <c r="G32" s="82"/>
      <c r="H32" s="82"/>
      <c r="I32" s="83">
        <f>SUM('Exh 6 Stores BS'!E28:H28)/4</f>
        <v>742.75</v>
      </c>
      <c r="J32" s="83">
        <f>SUM('Exh 6 Stores BS'!F28:I28)/4</f>
        <v>742.75</v>
      </c>
      <c r="K32" s="83">
        <f>SUM('Exh 6 Stores BS'!G28:J28)/4</f>
        <v>742.75</v>
      </c>
      <c r="L32" s="83">
        <f>SUM('Exh 6 Stores BS'!H28:K28)/4</f>
        <v>742.75</v>
      </c>
      <c r="M32" s="83">
        <f>SUM('Exh 6 Stores BS'!I28:L28)/4</f>
        <v>0</v>
      </c>
      <c r="N32" s="83">
        <f>SUM('Exh 6 Stores BS'!J28:M28)/4</f>
        <v>0</v>
      </c>
      <c r="O32" s="82">
        <f>SUM('Exh 6 Stores BS'!K28:N28)/4</f>
        <v>0</v>
      </c>
      <c r="P32" s="82">
        <f>SUM('Exh 6 Stores BS'!L28:O28)/4</f>
        <v>0</v>
      </c>
      <c r="Q32" s="82">
        <f>SUM('Exh 6 Stores BS'!M28:P28)/4</f>
        <v>612.37758936364548</v>
      </c>
      <c r="R32" s="82">
        <f>SUM('Exh 6 Stores BS'!N28:Q28)/4</f>
        <v>612.37758936364548</v>
      </c>
      <c r="S32" s="82">
        <f>SUM('Exh 6 Stores BS'!O28:R28)/4</f>
        <v>612.37758936364548</v>
      </c>
      <c r="T32" s="82">
        <f>SUM('Exh 6 Stores BS'!P28:S28)/4</f>
        <v>612.37758936364548</v>
      </c>
      <c r="U32" s="82">
        <f>SUM('Exh 6 Stores BS'!Q28:T28)/4</f>
        <v>0</v>
      </c>
    </row>
    <row r="33" spans="1:21" ht="12.95" customHeight="1" x14ac:dyDescent="0.25">
      <c r="A33" s="73"/>
      <c r="B33" s="73" t="s">
        <v>10</v>
      </c>
      <c r="C33" s="73"/>
      <c r="D33" s="73"/>
      <c r="E33" s="87"/>
      <c r="F33" s="82"/>
      <c r="G33" s="82"/>
      <c r="H33" s="82"/>
      <c r="I33" s="83">
        <v>1910</v>
      </c>
      <c r="J33" s="83">
        <f>I33</f>
        <v>1910</v>
      </c>
      <c r="K33" s="83">
        <f>J33</f>
        <v>1910</v>
      </c>
      <c r="L33" s="83">
        <f>K33</f>
        <v>1910</v>
      </c>
      <c r="M33" s="83">
        <f>L33</f>
        <v>1910</v>
      </c>
      <c r="N33" s="83">
        <f>M33</f>
        <v>1910</v>
      </c>
      <c r="O33" s="85">
        <f>ROUND(N33*(1.02)^6,0)</f>
        <v>2151</v>
      </c>
      <c r="P33" s="85">
        <f>O33</f>
        <v>2151</v>
      </c>
      <c r="Q33" s="85">
        <f>P33</f>
        <v>2151</v>
      </c>
      <c r="R33" s="85">
        <f>Q33</f>
        <v>2151</v>
      </c>
      <c r="S33" s="85">
        <f>R33</f>
        <v>2151</v>
      </c>
      <c r="T33" s="85">
        <f>S33</f>
        <v>2151</v>
      </c>
      <c r="U33" s="82">
        <f>ROUND(T33*(1+$D$109)^6,0)</f>
        <v>2422</v>
      </c>
    </row>
    <row r="34" spans="1:21" ht="12.95" customHeight="1" x14ac:dyDescent="0.25">
      <c r="A34" s="73"/>
      <c r="B34" s="73"/>
      <c r="C34" s="73"/>
      <c r="D34" s="73"/>
      <c r="E34" s="73"/>
      <c r="F34" s="73"/>
      <c r="G34" s="73"/>
      <c r="H34" s="73"/>
      <c r="I34" s="73"/>
      <c r="J34" s="73"/>
      <c r="K34" s="73"/>
      <c r="L34" s="73"/>
      <c r="M34" s="73"/>
      <c r="N34" s="73"/>
      <c r="O34" s="73"/>
      <c r="P34" s="73"/>
      <c r="Q34" s="73"/>
      <c r="R34" s="73"/>
      <c r="S34" s="73"/>
      <c r="T34" s="73"/>
      <c r="U34" s="73"/>
    </row>
    <row r="35" spans="1:21" ht="12.95" customHeight="1" x14ac:dyDescent="0.25">
      <c r="A35" s="89">
        <v>2007</v>
      </c>
      <c r="B35" s="79"/>
      <c r="C35" s="80">
        <v>6</v>
      </c>
      <c r="D35" s="80">
        <v>22100</v>
      </c>
      <c r="E35" s="79"/>
      <c r="F35" s="79"/>
      <c r="G35" s="79"/>
      <c r="H35" s="79"/>
      <c r="I35" s="79"/>
      <c r="J35" s="79">
        <v>1</v>
      </c>
      <c r="K35" s="79">
        <v>2</v>
      </c>
      <c r="L35" s="79">
        <v>3</v>
      </c>
      <c r="M35" s="79">
        <v>4</v>
      </c>
      <c r="N35" s="79">
        <v>5</v>
      </c>
      <c r="O35" s="79">
        <v>6</v>
      </c>
      <c r="P35" s="79">
        <v>7</v>
      </c>
      <c r="Q35" s="79">
        <v>8</v>
      </c>
      <c r="R35" s="79">
        <v>9</v>
      </c>
      <c r="S35" s="79">
        <v>10</v>
      </c>
      <c r="T35" s="79">
        <v>11</v>
      </c>
      <c r="U35" s="79">
        <v>12</v>
      </c>
    </row>
    <row r="36" spans="1:21" ht="12.95" customHeight="1" x14ac:dyDescent="0.25">
      <c r="A36" s="73"/>
      <c r="B36" s="73" t="s">
        <v>24</v>
      </c>
      <c r="C36" s="73"/>
      <c r="D36" s="73"/>
      <c r="E36" s="73"/>
      <c r="F36" s="73"/>
      <c r="G36" s="73"/>
      <c r="H36" s="73"/>
      <c r="I36" s="73"/>
      <c r="J36" s="83">
        <v>15435.4</v>
      </c>
      <c r="K36" s="83">
        <v>22001</v>
      </c>
      <c r="L36" s="83">
        <v>30465.9</v>
      </c>
      <c r="M36" s="83">
        <v>39628.199999999997</v>
      </c>
      <c r="N36" s="83">
        <v>43541</v>
      </c>
      <c r="O36" s="78">
        <f>N36*(1+HLOOKUP(O35,'Exh 10 Forecast Parameters'!$B$2:$H$3,2,TRUE))*(1+HLOOKUP(O$2,'Exh 4 Econ Indicators'!$B$2:$S$8,7,FALSE))</f>
        <v>45519.938450000001</v>
      </c>
      <c r="P36" s="78">
        <f>O36*(1+HLOOKUP(P35,'Exh 10 Forecast Parameters'!$B$2:$H$3,2,TRUE))*(1+HLOOKUP(P$2,'Exh 4 Econ Indicators'!$B$2:$S$8,7,FALSE))</f>
        <v>46980.536715045142</v>
      </c>
      <c r="Q36" s="78">
        <f>P36*(1+HLOOKUP(Q35,'Exh 10 Forecast Parameters'!$B$2:$H$3,2,TRUE))*(1+HLOOKUP(Q$2,'Exh 4 Econ Indicators'!$B$2:$S$8,7,FALSE))</f>
        <v>48440.879718295597</v>
      </c>
      <c r="R36" s="78">
        <f>Q36*(1+HLOOKUP(R35,'Exh 10 Forecast Parameters'!$B$2:$H$3,2,TRUE))*(1+HLOOKUP(R$2,'Exh 4 Econ Indicators'!$B$2:$S$8,7,FALSE))</f>
        <v>49898.029821101634</v>
      </c>
      <c r="S36" s="78">
        <f>R36*(1+HLOOKUP(S35,'Exh 10 Forecast Parameters'!$B$2:$H$3,2,TRUE))*(1+HLOOKUP(S$2,'Exh 4 Econ Indicators'!$B$2:$S$8,7,FALSE))</f>
        <v>51348.964732239627</v>
      </c>
      <c r="T36" s="78">
        <f>S36*(1+HLOOKUP(T35,'Exh 10 Forecast Parameters'!$B$2:$H$3,2,TRUE))*(1+HLOOKUP(T$2,'Exh 4 Econ Indicators'!$B$2:$S$8,7,FALSE))</f>
        <v>52790.586917097244</v>
      </c>
      <c r="U36" s="78">
        <f>T36*(1+HLOOKUP(U35,'Exh 10 Forecast Parameters'!$B$2:$H$3,2,TRUE))*(1+HLOOKUP(U$2,'Exh 4 Econ Indicators'!$B$2:$S$8,7,FALSE))</f>
        <v>54219.733686116895</v>
      </c>
    </row>
    <row r="37" spans="1:21" ht="12.95" customHeight="1" x14ac:dyDescent="0.25">
      <c r="A37" s="73"/>
      <c r="B37" s="73" t="s">
        <v>1</v>
      </c>
      <c r="C37" s="73"/>
      <c r="D37" s="73"/>
      <c r="E37" s="73"/>
      <c r="F37" s="73"/>
      <c r="G37" s="73"/>
      <c r="H37" s="73"/>
      <c r="I37" s="73"/>
      <c r="J37" s="83">
        <v>11204.6</v>
      </c>
      <c r="K37" s="83">
        <v>14800.5</v>
      </c>
      <c r="L37" s="83">
        <v>16421.7</v>
      </c>
      <c r="M37" s="83">
        <v>15231.6</v>
      </c>
      <c r="N37" s="83">
        <v>17855.8</v>
      </c>
      <c r="O37" s="78">
        <f>HLOOKUP(O35,'Exh 10 Forecast Parameters'!$B$2:$H$4,3,TRUE)*O36</f>
        <v>18162.455441550002</v>
      </c>
      <c r="P37" s="78">
        <f>HLOOKUP(P35,'Exh 10 Forecast Parameters'!$B$2:$H$4,3,TRUE)*P36</f>
        <v>18745.234149303014</v>
      </c>
      <c r="Q37" s="78">
        <f>HLOOKUP(Q35,'Exh 10 Forecast Parameters'!$B$2:$H$4,3,TRUE)*Q36</f>
        <v>19327.911007599945</v>
      </c>
      <c r="R37" s="78">
        <f>HLOOKUP(R35,'Exh 10 Forecast Parameters'!$B$2:$H$4,3,TRUE)*R36</f>
        <v>19909.313898619552</v>
      </c>
      <c r="S37" s="78">
        <f>HLOOKUP(S35,'Exh 10 Forecast Parameters'!$B$2:$H$4,3,TRUE)*S36</f>
        <v>20488.236928163613</v>
      </c>
      <c r="T37" s="78">
        <f>HLOOKUP(T35,'Exh 10 Forecast Parameters'!$B$2:$H$4,3,TRUE)*T36</f>
        <v>21063.4441799218</v>
      </c>
      <c r="U37" s="78">
        <f>HLOOKUP(U35,'Exh 10 Forecast Parameters'!$B$2:$H$4,3,TRUE)*U36</f>
        <v>21633.673740760642</v>
      </c>
    </row>
    <row r="38" spans="1:21" ht="12.95" customHeight="1" x14ac:dyDescent="0.25">
      <c r="A38" s="73"/>
      <c r="B38" s="73" t="s">
        <v>15</v>
      </c>
      <c r="C38" s="73"/>
      <c r="D38" s="73"/>
      <c r="E38" s="73"/>
      <c r="F38" s="73"/>
      <c r="G38" s="78"/>
      <c r="H38" s="78"/>
      <c r="I38" s="78"/>
      <c r="J38" s="83">
        <v>3050.4</v>
      </c>
      <c r="K38" s="83">
        <v>3877.8</v>
      </c>
      <c r="L38" s="83">
        <v>5471</v>
      </c>
      <c r="M38" s="83">
        <v>5165.7</v>
      </c>
      <c r="N38" s="83">
        <v>5916.9</v>
      </c>
      <c r="O38" s="78">
        <f>HLOOKUP(O35,'Exh 10 Forecast Parameters'!$B$2:$H$5,4,TRUE)*O36</f>
        <v>6190.711629200001</v>
      </c>
      <c r="P38" s="78">
        <f>HLOOKUP(P35,'Exh 10 Forecast Parameters'!$B$2:$H$5,4,TRUE)*P36</f>
        <v>6389.3529932461397</v>
      </c>
      <c r="Q38" s="78">
        <f>HLOOKUP(Q35,'Exh 10 Forecast Parameters'!$B$2:$H$5,4,TRUE)*Q36</f>
        <v>6587.9596416882014</v>
      </c>
      <c r="R38" s="78">
        <f>HLOOKUP(R35,'Exh 10 Forecast Parameters'!$B$2:$H$5,4,TRUE)*R36</f>
        <v>6786.1320556698229</v>
      </c>
      <c r="S38" s="78">
        <f>HLOOKUP(S35,'Exh 10 Forecast Parameters'!$B$2:$H$5,4,TRUE)*S36</f>
        <v>6983.4592035845899</v>
      </c>
      <c r="T38" s="78">
        <f>HLOOKUP(T35,'Exh 10 Forecast Parameters'!$B$2:$H$5,4,TRUE)*T36</f>
        <v>7179.5198207252261</v>
      </c>
      <c r="U38" s="78">
        <f>HLOOKUP(U35,'Exh 10 Forecast Parameters'!$B$2:$H$5,4,TRUE)*U36</f>
        <v>7373.883781311898</v>
      </c>
    </row>
    <row r="39" spans="1:21" ht="12.95" customHeight="1" x14ac:dyDescent="0.25">
      <c r="A39" s="73"/>
      <c r="B39" s="73" t="s">
        <v>13</v>
      </c>
      <c r="C39" s="73"/>
      <c r="D39" s="73"/>
      <c r="E39" s="73"/>
      <c r="F39" s="73"/>
      <c r="G39" s="78"/>
      <c r="H39" s="78"/>
      <c r="I39" s="78"/>
      <c r="J39" s="83">
        <v>1578.4</v>
      </c>
      <c r="K39" s="83">
        <v>1986.3</v>
      </c>
      <c r="L39" s="83">
        <v>2458.4</v>
      </c>
      <c r="M39" s="83">
        <v>2748</v>
      </c>
      <c r="N39" s="83">
        <v>3109.4</v>
      </c>
      <c r="O39" s="78">
        <f>HLOOKUP(O35,'Exh 10 Forecast Parameters'!$B$2:$H$6,5,TRUE)*O36</f>
        <v>3277.4355683999997</v>
      </c>
      <c r="P39" s="78">
        <f>HLOOKUP(P35,'Exh 10 Forecast Parameters'!$B$2:$H$6,5,TRUE)*P36</f>
        <v>3382.5986434832498</v>
      </c>
      <c r="Q39" s="78">
        <f>HLOOKUP(Q35,'Exh 10 Forecast Parameters'!$B$2:$H$6,5,TRUE)*Q36</f>
        <v>3487.7433397172827</v>
      </c>
      <c r="R39" s="78">
        <f>HLOOKUP(R35,'Exh 10 Forecast Parameters'!$B$2:$H$6,5,TRUE)*R36</f>
        <v>3592.6581471193176</v>
      </c>
      <c r="S39" s="78">
        <f>HLOOKUP(S35,'Exh 10 Forecast Parameters'!$B$2:$H$6,5,TRUE)*S36</f>
        <v>3697.1254607212527</v>
      </c>
      <c r="T39" s="78">
        <f>HLOOKUP(T35,'Exh 10 Forecast Parameters'!$B$2:$H$6,5,TRUE)*T36</f>
        <v>3800.9222580310011</v>
      </c>
      <c r="U39" s="78">
        <f>HLOOKUP(U35,'Exh 10 Forecast Parameters'!$B$2:$H$6,5,TRUE)*U36</f>
        <v>3903.8208254004162</v>
      </c>
    </row>
    <row r="40" spans="1:21" ht="12.95" customHeight="1" x14ac:dyDescent="0.25">
      <c r="A40" s="73"/>
      <c r="B40" s="73" t="s">
        <v>14</v>
      </c>
      <c r="C40" s="73"/>
      <c r="D40" s="86"/>
      <c r="E40" s="73"/>
      <c r="F40" s="82"/>
      <c r="G40" s="82"/>
      <c r="H40" s="82"/>
      <c r="I40" s="82"/>
      <c r="J40" s="83">
        <f>SUM('Exh 6 Stores BS'!F36:I36)/4</f>
        <v>1014.5</v>
      </c>
      <c r="K40" s="83">
        <f>SUM('Exh 6 Stores BS'!G36:J36)/4</f>
        <v>1014.5</v>
      </c>
      <c r="L40" s="83">
        <f>SUM('Exh 6 Stores BS'!H36:K36)/4</f>
        <v>1014.5</v>
      </c>
      <c r="M40" s="83">
        <f>SUM('Exh 6 Stores BS'!I36:L36)/4</f>
        <v>1014.5</v>
      </c>
      <c r="N40" s="83">
        <f>SUM('Exh 6 Stores BS'!J36:M36)/4</f>
        <v>0</v>
      </c>
      <c r="O40" s="82">
        <f>SUM('Exh 6 Stores BS'!K36:N36)/4</f>
        <v>0</v>
      </c>
      <c r="P40" s="82">
        <f>SUM('Exh 6 Stores BS'!L36:O36)/4</f>
        <v>0</v>
      </c>
      <c r="Q40" s="82">
        <f>SUM('Exh 6 Stores BS'!M36:P36)/4</f>
        <v>0</v>
      </c>
      <c r="R40" s="82">
        <f>SUM('Exh 6 Stores BS'!N36:Q36)/4</f>
        <v>819.22035018816609</v>
      </c>
      <c r="S40" s="82">
        <f>SUM('Exh 6 Stores BS'!O36:R36)/4</f>
        <v>819.22035018816609</v>
      </c>
      <c r="T40" s="82">
        <f>SUM('Exh 6 Stores BS'!P36:S36)/4</f>
        <v>819.22035018816609</v>
      </c>
      <c r="U40" s="82">
        <f>SUM('Exh 6 Stores BS'!Q36:T36)/4</f>
        <v>819.22035018816609</v>
      </c>
    </row>
    <row r="41" spans="1:21" ht="12.95" customHeight="1" x14ac:dyDescent="0.25">
      <c r="A41" s="73"/>
      <c r="B41" s="73" t="s">
        <v>10</v>
      </c>
      <c r="C41" s="73"/>
      <c r="D41" s="73"/>
      <c r="E41" s="87"/>
      <c r="F41" s="82"/>
      <c r="G41" s="82"/>
      <c r="H41" s="82"/>
      <c r="I41" s="82"/>
      <c r="J41" s="83">
        <v>2530</v>
      </c>
      <c r="K41" s="83">
        <f>J41</f>
        <v>2530</v>
      </c>
      <c r="L41" s="83">
        <f>K41</f>
        <v>2530</v>
      </c>
      <c r="M41" s="83">
        <f>L41</f>
        <v>2530</v>
      </c>
      <c r="N41" s="83">
        <f>M41</f>
        <v>2530</v>
      </c>
      <c r="O41" s="85">
        <f>N41</f>
        <v>2530</v>
      </c>
      <c r="P41" s="82">
        <f>ROUND(O41*(1+$D$109)^6,0)</f>
        <v>2849</v>
      </c>
      <c r="Q41" s="85">
        <f>P41</f>
        <v>2849</v>
      </c>
      <c r="R41" s="85">
        <f>Q41</f>
        <v>2849</v>
      </c>
      <c r="S41" s="85">
        <f>R41</f>
        <v>2849</v>
      </c>
      <c r="T41" s="85">
        <f>S41</f>
        <v>2849</v>
      </c>
      <c r="U41" s="85">
        <f>T41</f>
        <v>2849</v>
      </c>
    </row>
    <row r="42" spans="1:21" ht="12.95" customHeight="1" x14ac:dyDescent="0.25">
      <c r="A42" s="73"/>
      <c r="B42" s="73"/>
      <c r="C42" s="73"/>
      <c r="D42" s="73"/>
      <c r="E42" s="73"/>
      <c r="F42" s="73"/>
      <c r="G42" s="73"/>
      <c r="H42" s="73"/>
      <c r="I42" s="73"/>
      <c r="J42" s="73"/>
      <c r="K42" s="73"/>
      <c r="L42" s="73"/>
      <c r="M42" s="73"/>
      <c r="N42" s="73"/>
      <c r="O42" s="73"/>
      <c r="P42" s="73"/>
      <c r="Q42" s="73"/>
      <c r="R42" s="73"/>
      <c r="S42" s="73"/>
      <c r="T42" s="73"/>
      <c r="U42" s="73"/>
    </row>
    <row r="43" spans="1:21" ht="12.95" customHeight="1" x14ac:dyDescent="0.25">
      <c r="A43" s="89">
        <v>2008</v>
      </c>
      <c r="B43" s="79"/>
      <c r="C43" s="80">
        <v>2</v>
      </c>
      <c r="D43" s="80">
        <v>15500</v>
      </c>
      <c r="E43" s="79"/>
      <c r="F43" s="79"/>
      <c r="G43" s="79"/>
      <c r="H43" s="79"/>
      <c r="I43" s="79"/>
      <c r="J43" s="79"/>
      <c r="K43" s="79">
        <v>1</v>
      </c>
      <c r="L43" s="79">
        <v>2</v>
      </c>
      <c r="M43" s="79">
        <v>3</v>
      </c>
      <c r="N43" s="79">
        <v>4</v>
      </c>
      <c r="O43" s="79">
        <v>5</v>
      </c>
      <c r="P43" s="79">
        <v>6</v>
      </c>
      <c r="Q43" s="79">
        <v>7</v>
      </c>
      <c r="R43" s="79">
        <v>8</v>
      </c>
      <c r="S43" s="79">
        <v>9</v>
      </c>
      <c r="T43" s="79">
        <v>10</v>
      </c>
      <c r="U43" s="79">
        <v>11</v>
      </c>
    </row>
    <row r="44" spans="1:21" ht="12.95" customHeight="1" x14ac:dyDescent="0.25">
      <c r="A44" s="73"/>
      <c r="B44" s="73" t="s">
        <v>24</v>
      </c>
      <c r="C44" s="73"/>
      <c r="D44" s="73"/>
      <c r="E44" s="73"/>
      <c r="F44" s="73"/>
      <c r="G44" s="73"/>
      <c r="H44" s="73"/>
      <c r="I44" s="73"/>
      <c r="J44" s="73"/>
      <c r="K44" s="83">
        <v>3187.1</v>
      </c>
      <c r="L44" s="83">
        <v>5176</v>
      </c>
      <c r="M44" s="83">
        <v>7244.1</v>
      </c>
      <c r="N44" s="83">
        <v>9257.2000000000007</v>
      </c>
      <c r="O44" s="78">
        <f>N44*(1+HLOOKUP(O43,'Exh 10 Forecast Parameters'!$B$2:$H$3,2,TRUE))*(1+HLOOKUP(O$2,'Exh 4 Econ Indicators'!$B$2:$S$8,7,FALSE))</f>
        <v>10459.802852000001</v>
      </c>
      <c r="P44" s="78">
        <f>O44*(1+HLOOKUP(P43,'Exh 10 Forecast Parameters'!$B$2:$H$3,2,TRUE))*(1+HLOOKUP(P$2,'Exh 4 Econ Indicators'!$B$2:$S$8,7,FALSE))</f>
        <v>10924.58419172862</v>
      </c>
      <c r="Q44" s="78">
        <f>P44*(1+HLOOKUP(Q43,'Exh 10 Forecast Parameters'!$B$2:$H$3,2,TRUE))*(1+HLOOKUP(Q$2,'Exh 4 Econ Indicators'!$B$2:$S$8,7,FALSE))</f>
        <v>11264.163966744312</v>
      </c>
      <c r="R44" s="78">
        <f>Q44*(1+HLOOKUP(R43,'Exh 10 Forecast Parameters'!$B$2:$H$3,2,TRUE))*(1+HLOOKUP(R$2,'Exh 4 Econ Indicators'!$B$2:$S$8,7,FALSE))</f>
        <v>11603.001283027947</v>
      </c>
      <c r="S44" s="78">
        <f>R44*(1+HLOOKUP(S43,'Exh 10 Forecast Parameters'!$B$2:$H$3,2,TRUE))*(1+HLOOKUP(S$2,'Exh 4 Econ Indicators'!$B$2:$S$8,7,FALSE))</f>
        <v>11940.393354335833</v>
      </c>
      <c r="T44" s="78">
        <f>S44*(1+HLOOKUP(T43,'Exh 10 Forecast Parameters'!$B$2:$H$3,2,TRUE))*(1+HLOOKUP(T$2,'Exh 4 Econ Indicators'!$B$2:$S$8,7,FALSE))</f>
        <v>12275.61989775881</v>
      </c>
      <c r="U44" s="78">
        <f>T44*(1+HLOOKUP(U43,'Exh 10 Forecast Parameters'!$B$2:$H$3,2,TRUE))*(1+HLOOKUP(U$2,'Exh 4 Econ Indicators'!$B$2:$S$8,7,FALSE))</f>
        <v>12607.945479630936</v>
      </c>
    </row>
    <row r="45" spans="1:21" ht="12.95" customHeight="1" x14ac:dyDescent="0.25">
      <c r="A45" s="73"/>
      <c r="B45" s="73" t="s">
        <v>1</v>
      </c>
      <c r="C45" s="73"/>
      <c r="D45" s="73"/>
      <c r="E45" s="73"/>
      <c r="F45" s="73"/>
      <c r="G45" s="73"/>
      <c r="H45" s="73"/>
      <c r="I45" s="73"/>
      <c r="J45" s="73"/>
      <c r="K45" s="83">
        <v>2053.3000000000002</v>
      </c>
      <c r="L45" s="83">
        <v>3466.7</v>
      </c>
      <c r="M45" s="83">
        <v>4420.5</v>
      </c>
      <c r="N45" s="83">
        <v>3764.1</v>
      </c>
      <c r="O45" s="78">
        <f>HLOOKUP(O43,'Exh 10 Forecast Parameters'!$B$2:$H$4,3,TRUE)*O44</f>
        <v>4173.4613379480006</v>
      </c>
      <c r="P45" s="78">
        <f>HLOOKUP(P43,'Exh 10 Forecast Parameters'!$B$2:$H$4,3,TRUE)*P44</f>
        <v>4358.9090924997199</v>
      </c>
      <c r="Q45" s="78">
        <f>HLOOKUP(Q43,'Exh 10 Forecast Parameters'!$B$2:$H$4,3,TRUE)*Q44</f>
        <v>4494.4014227309808</v>
      </c>
      <c r="R45" s="78">
        <f>HLOOKUP(R43,'Exh 10 Forecast Parameters'!$B$2:$H$4,3,TRUE)*R44</f>
        <v>4629.5975119281511</v>
      </c>
      <c r="S45" s="78">
        <f>HLOOKUP(S43,'Exh 10 Forecast Parameters'!$B$2:$H$4,3,TRUE)*S44</f>
        <v>4764.2169483799971</v>
      </c>
      <c r="T45" s="78">
        <f>HLOOKUP(T43,'Exh 10 Forecast Parameters'!$B$2:$H$4,3,TRUE)*T44</f>
        <v>4897.9723392057658</v>
      </c>
      <c r="U45" s="78">
        <f>HLOOKUP(U43,'Exh 10 Forecast Parameters'!$B$2:$H$4,3,TRUE)*U44</f>
        <v>5030.5702463727439</v>
      </c>
    </row>
    <row r="46" spans="1:21" ht="12.95" customHeight="1" x14ac:dyDescent="0.25">
      <c r="A46" s="73"/>
      <c r="B46" s="73" t="s">
        <v>15</v>
      </c>
      <c r="C46" s="73"/>
      <c r="D46" s="73"/>
      <c r="E46" s="73"/>
      <c r="F46" s="73"/>
      <c r="G46" s="78"/>
      <c r="H46" s="78"/>
      <c r="I46" s="78"/>
      <c r="J46" s="78"/>
      <c r="K46" s="83">
        <v>521.9</v>
      </c>
      <c r="L46" s="83">
        <v>951.3</v>
      </c>
      <c r="M46" s="83">
        <v>1224.5999999999999</v>
      </c>
      <c r="N46" s="83">
        <v>1242.7</v>
      </c>
      <c r="O46" s="78">
        <f>HLOOKUP(O43,'Exh 10 Forecast Parameters'!$B$2:$H$5,4,TRUE)*O44</f>
        <v>1422.5331878720001</v>
      </c>
      <c r="P46" s="78">
        <f>HLOOKUP(P43,'Exh 10 Forecast Parameters'!$B$2:$H$5,4,TRUE)*P44</f>
        <v>1485.7434500750924</v>
      </c>
      <c r="Q46" s="78">
        <f>HLOOKUP(Q43,'Exh 10 Forecast Parameters'!$B$2:$H$5,4,TRUE)*Q44</f>
        <v>1531.9262994772266</v>
      </c>
      <c r="R46" s="78">
        <f>HLOOKUP(R43,'Exh 10 Forecast Parameters'!$B$2:$H$5,4,TRUE)*R44</f>
        <v>1578.0081744918009</v>
      </c>
      <c r="S46" s="78">
        <f>HLOOKUP(S43,'Exh 10 Forecast Parameters'!$B$2:$H$5,4,TRUE)*S44</f>
        <v>1623.8934961896734</v>
      </c>
      <c r="T46" s="78">
        <f>HLOOKUP(T43,'Exh 10 Forecast Parameters'!$B$2:$H$5,4,TRUE)*T44</f>
        <v>1669.4843060951982</v>
      </c>
      <c r="U46" s="78">
        <f>HLOOKUP(U43,'Exh 10 Forecast Parameters'!$B$2:$H$5,4,TRUE)*U44</f>
        <v>1714.6805852298075</v>
      </c>
    </row>
    <row r="47" spans="1:21" ht="12.95" customHeight="1" x14ac:dyDescent="0.25">
      <c r="A47" s="73"/>
      <c r="B47" s="73" t="s">
        <v>13</v>
      </c>
      <c r="C47" s="73"/>
      <c r="D47" s="73"/>
      <c r="E47" s="73"/>
      <c r="F47" s="73"/>
      <c r="G47" s="78"/>
      <c r="H47" s="78"/>
      <c r="I47" s="78"/>
      <c r="J47" s="78"/>
      <c r="K47" s="83">
        <v>326</v>
      </c>
      <c r="L47" s="83">
        <v>499</v>
      </c>
      <c r="M47" s="83">
        <v>598.4</v>
      </c>
      <c r="N47" s="83">
        <v>675.4</v>
      </c>
      <c r="O47" s="78">
        <f>HLOOKUP(O43,'Exh 10 Forecast Parameters'!$B$2:$H$6,5,TRUE)*O44</f>
        <v>753.10580534400003</v>
      </c>
      <c r="P47" s="78">
        <f>HLOOKUP(P43,'Exh 10 Forecast Parameters'!$B$2:$H$6,5,TRUE)*P44</f>
        <v>786.57006180446058</v>
      </c>
      <c r="Q47" s="78">
        <f>HLOOKUP(Q43,'Exh 10 Forecast Parameters'!$B$2:$H$6,5,TRUE)*Q44</f>
        <v>811.01980560559048</v>
      </c>
      <c r="R47" s="78">
        <f>HLOOKUP(R43,'Exh 10 Forecast Parameters'!$B$2:$H$6,5,TRUE)*R44</f>
        <v>835.41609237801208</v>
      </c>
      <c r="S47" s="78">
        <f>HLOOKUP(S43,'Exh 10 Forecast Parameters'!$B$2:$H$6,5,TRUE)*S44</f>
        <v>859.70832151217985</v>
      </c>
      <c r="T47" s="78">
        <f>HLOOKUP(T43,'Exh 10 Forecast Parameters'!$B$2:$H$6,5,TRUE)*T44</f>
        <v>883.84463263863427</v>
      </c>
      <c r="U47" s="78">
        <f>HLOOKUP(U43,'Exh 10 Forecast Parameters'!$B$2:$H$6,5,TRUE)*U44</f>
        <v>907.77207453342737</v>
      </c>
    </row>
    <row r="48" spans="1:21" ht="12.95" customHeight="1" x14ac:dyDescent="0.25">
      <c r="A48" s="73"/>
      <c r="B48" s="73" t="s">
        <v>14</v>
      </c>
      <c r="C48" s="73"/>
      <c r="D48" s="86"/>
      <c r="E48" s="73"/>
      <c r="F48" s="82"/>
      <c r="G48" s="82"/>
      <c r="H48" s="82"/>
      <c r="I48" s="82"/>
      <c r="J48" s="82"/>
      <c r="K48" s="83">
        <f>SUM('Exh 6 Stores BS'!G44:J44)/4</f>
        <v>231</v>
      </c>
      <c r="L48" s="83">
        <f>SUM('Exh 6 Stores BS'!H44:K44)/4</f>
        <v>231</v>
      </c>
      <c r="M48" s="83">
        <f>SUM('Exh 6 Stores BS'!I44:L44)/4</f>
        <v>231</v>
      </c>
      <c r="N48" s="83">
        <f>SUM('Exh 6 Stores BS'!J44:M44)/4</f>
        <v>231</v>
      </c>
      <c r="O48" s="82">
        <f>SUM('Exh 6 Stores BS'!K44:N44)/4</f>
        <v>0</v>
      </c>
      <c r="P48" s="82">
        <f>SUM('Exh 6 Stores BS'!L44:O44)/4</f>
        <v>0</v>
      </c>
      <c r="Q48" s="82">
        <f>SUM('Exh 6 Stores BS'!M44:P44)/4</f>
        <v>0</v>
      </c>
      <c r="R48" s="82">
        <f>SUM('Exh 6 Stores BS'!N44:Q44)/4</f>
        <v>0</v>
      </c>
      <c r="S48" s="82">
        <f>SUM('Exh 6 Stores BS'!O44:R44)/4</f>
        <v>190.29707674863687</v>
      </c>
      <c r="T48" s="82">
        <f>SUM('Exh 6 Stores BS'!P44:S44)/4</f>
        <v>190.29707674863687</v>
      </c>
      <c r="U48" s="82">
        <f>SUM('Exh 6 Stores BS'!Q44:T44)/4</f>
        <v>190.29707674863687</v>
      </c>
    </row>
    <row r="49" spans="1:21" ht="12.95" customHeight="1" x14ac:dyDescent="0.25">
      <c r="A49" s="73"/>
      <c r="B49" s="73" t="s">
        <v>10</v>
      </c>
      <c r="C49" s="73"/>
      <c r="D49" s="73"/>
      <c r="E49" s="87"/>
      <c r="F49" s="82"/>
      <c r="G49" s="82"/>
      <c r="H49" s="82"/>
      <c r="I49" s="82"/>
      <c r="J49" s="82"/>
      <c r="K49" s="83">
        <v>610</v>
      </c>
      <c r="L49" s="83">
        <f>K49</f>
        <v>610</v>
      </c>
      <c r="M49" s="83">
        <f>L49</f>
        <v>610</v>
      </c>
      <c r="N49" s="83">
        <f>M49</f>
        <v>610</v>
      </c>
      <c r="O49" s="85">
        <f>N49</f>
        <v>610</v>
      </c>
      <c r="P49" s="85">
        <f>O49</f>
        <v>610</v>
      </c>
      <c r="Q49" s="82">
        <f>ROUND(P49*(1+$D$109)^6,0)</f>
        <v>687</v>
      </c>
      <c r="R49" s="85">
        <f>Q49</f>
        <v>687</v>
      </c>
      <c r="S49" s="85">
        <f>R49</f>
        <v>687</v>
      </c>
      <c r="T49" s="85">
        <f>S49</f>
        <v>687</v>
      </c>
      <c r="U49" s="85">
        <f>T49</f>
        <v>687</v>
      </c>
    </row>
    <row r="50" spans="1:21" ht="12.95" customHeight="1" x14ac:dyDescent="0.25">
      <c r="A50" s="73"/>
      <c r="B50" s="73"/>
      <c r="C50" s="73"/>
      <c r="D50" s="73"/>
      <c r="E50" s="73"/>
      <c r="F50" s="73"/>
      <c r="G50" s="73"/>
      <c r="H50" s="73"/>
      <c r="I50" s="73"/>
      <c r="J50" s="73"/>
      <c r="K50" s="73"/>
      <c r="L50" s="73"/>
      <c r="M50" s="73"/>
      <c r="N50" s="73"/>
      <c r="O50" s="73"/>
      <c r="P50" s="73"/>
      <c r="Q50" s="73"/>
      <c r="R50" s="73"/>
      <c r="S50" s="73"/>
      <c r="T50" s="73"/>
      <c r="U50" s="73"/>
    </row>
    <row r="51" spans="1:21" ht="12.95" customHeight="1" x14ac:dyDescent="0.25">
      <c r="A51" s="89">
        <v>2009</v>
      </c>
      <c r="B51" s="79"/>
      <c r="C51" s="80">
        <v>1</v>
      </c>
      <c r="D51" s="80">
        <v>14500</v>
      </c>
      <c r="E51" s="79"/>
      <c r="F51" s="79"/>
      <c r="G51" s="79"/>
      <c r="H51" s="79"/>
      <c r="I51" s="79"/>
      <c r="J51" s="79"/>
      <c r="K51" s="79"/>
      <c r="L51" s="79">
        <v>1</v>
      </c>
      <c r="M51" s="79">
        <v>2</v>
      </c>
      <c r="N51" s="79">
        <v>3</v>
      </c>
      <c r="O51" s="79">
        <v>4</v>
      </c>
      <c r="P51" s="79">
        <v>5</v>
      </c>
      <c r="Q51" s="79">
        <v>6</v>
      </c>
      <c r="R51" s="79">
        <v>7</v>
      </c>
      <c r="S51" s="79">
        <v>8</v>
      </c>
      <c r="T51" s="79">
        <v>9</v>
      </c>
      <c r="U51" s="79">
        <v>10</v>
      </c>
    </row>
    <row r="52" spans="1:21" ht="12.95" customHeight="1" x14ac:dyDescent="0.25">
      <c r="A52" s="73"/>
      <c r="B52" s="73" t="s">
        <v>24</v>
      </c>
      <c r="C52" s="73"/>
      <c r="D52" s="73"/>
      <c r="E52" s="73"/>
      <c r="F52" s="73"/>
      <c r="G52" s="73"/>
      <c r="H52" s="73"/>
      <c r="I52" s="73"/>
      <c r="J52" s="73"/>
      <c r="K52" s="73"/>
      <c r="L52" s="83">
        <v>1437.4</v>
      </c>
      <c r="M52" s="83">
        <v>2507.1999999999998</v>
      </c>
      <c r="N52" s="83">
        <v>3540.1</v>
      </c>
      <c r="O52" s="78">
        <f>N52*(1+HLOOKUP(O51,'Exh 10 Forecast Parameters'!$B$2:$H$3,2,TRUE))*(1+HLOOKUP(O$2,'Exh 4 Econ Indicators'!$B$2:$S$8,7,FALSE))</f>
        <v>4481.3063870000005</v>
      </c>
      <c r="P52" s="78">
        <f>O52*(1+HLOOKUP(P51,'Exh 10 Forecast Parameters'!$B$2:$H$3,2,TRUE))*(1+HLOOKUP(P$2,'Exh 4 Econ Indicators'!$B$2:$S$8,7,FALSE))</f>
        <v>5058.5569066286307</v>
      </c>
      <c r="Q52" s="78">
        <f>P52*(1+HLOOKUP(Q51,'Exh 10 Forecast Parameters'!$B$2:$H$3,2,TRUE))*(1+HLOOKUP(Q$2,'Exh 4 Econ Indicators'!$B$2:$S$8,7,FALSE))</f>
        <v>5278.1994475144456</v>
      </c>
      <c r="R52" s="78">
        <f>Q52*(1+HLOOKUP(R51,'Exh 10 Forecast Parameters'!$B$2:$H$3,2,TRUE))*(1+HLOOKUP(R$2,'Exh 4 Econ Indicators'!$B$2:$S$8,7,FALSE))</f>
        <v>5436.9729650951267</v>
      </c>
      <c r="S52" s="78">
        <f>R52*(1+HLOOKUP(S51,'Exh 10 Forecast Parameters'!$B$2:$H$3,2,TRUE))*(1+HLOOKUP(S$2,'Exh 4 Econ Indicators'!$B$2:$S$8,7,FALSE))</f>
        <v>5595.0692649741623</v>
      </c>
      <c r="T52" s="78">
        <f>S52*(1+HLOOKUP(T51,'Exh 10 Forecast Parameters'!$B$2:$H$3,2,TRUE))*(1+HLOOKUP(T$2,'Exh 4 Econ Indicators'!$B$2:$S$8,7,FALSE))</f>
        <v>5752.1508345883112</v>
      </c>
      <c r="U52" s="78">
        <f>T52*(1+HLOOKUP(U51,'Exh 10 Forecast Parameters'!$B$2:$H$3,2,TRUE))*(1+HLOOKUP(U$2,'Exh 4 Econ Indicators'!$B$2:$S$8,7,FALSE))</f>
        <v>5907.8730619822854</v>
      </c>
    </row>
    <row r="53" spans="1:21" ht="12.95" customHeight="1" x14ac:dyDescent="0.25">
      <c r="A53" s="73"/>
      <c r="B53" s="73" t="s">
        <v>1</v>
      </c>
      <c r="C53" s="73"/>
      <c r="D53" s="73"/>
      <c r="E53" s="73"/>
      <c r="F53" s="73"/>
      <c r="G53" s="73"/>
      <c r="H53" s="73"/>
      <c r="I53" s="73"/>
      <c r="J53" s="73"/>
      <c r="K53" s="73"/>
      <c r="L53" s="83">
        <v>1020.6</v>
      </c>
      <c r="M53" s="83">
        <v>1652</v>
      </c>
      <c r="N53" s="83">
        <v>1887</v>
      </c>
      <c r="O53" s="78">
        <f>HLOOKUP(O51,'Exh 10 Forecast Parameters'!$B$2:$H$4,3,TRUE)*O52</f>
        <v>1788.0412484130004</v>
      </c>
      <c r="P53" s="78">
        <f>HLOOKUP(P51,'Exh 10 Forecast Parameters'!$B$2:$H$4,3,TRUE)*P52</f>
        <v>2018.3642057448237</v>
      </c>
      <c r="Q53" s="78">
        <f>HLOOKUP(Q51,'Exh 10 Forecast Parameters'!$B$2:$H$4,3,TRUE)*Q52</f>
        <v>2106.001579558264</v>
      </c>
      <c r="R53" s="78">
        <f>HLOOKUP(R51,'Exh 10 Forecast Parameters'!$B$2:$H$4,3,TRUE)*R52</f>
        <v>2169.3522130729557</v>
      </c>
      <c r="S53" s="78">
        <f>HLOOKUP(S51,'Exh 10 Forecast Parameters'!$B$2:$H$4,3,TRUE)*S52</f>
        <v>2232.4326367246908</v>
      </c>
      <c r="T53" s="78">
        <f>HLOOKUP(T51,'Exh 10 Forecast Parameters'!$B$2:$H$4,3,TRUE)*T52</f>
        <v>2295.1081830007365</v>
      </c>
      <c r="U53" s="78">
        <f>HLOOKUP(U51,'Exh 10 Forecast Parameters'!$B$2:$H$4,3,TRUE)*U52</f>
        <v>2357.2413517309319</v>
      </c>
    </row>
    <row r="54" spans="1:21" ht="12.95" customHeight="1" x14ac:dyDescent="0.25">
      <c r="A54" s="73"/>
      <c r="B54" s="73" t="s">
        <v>15</v>
      </c>
      <c r="C54" s="73"/>
      <c r="D54" s="73"/>
      <c r="E54" s="73"/>
      <c r="F54" s="73"/>
      <c r="G54" s="78"/>
      <c r="H54" s="78"/>
      <c r="I54" s="78"/>
      <c r="J54" s="78"/>
      <c r="K54" s="78"/>
      <c r="L54" s="83">
        <v>256.89999999999998</v>
      </c>
      <c r="M54" s="83">
        <v>480.3</v>
      </c>
      <c r="N54" s="83">
        <v>615</v>
      </c>
      <c r="O54" s="78">
        <f>HLOOKUP(O51,'Exh 10 Forecast Parameters'!$B$2:$H$5,4,TRUE)*O52</f>
        <v>609.45766863200015</v>
      </c>
      <c r="P54" s="78">
        <f>HLOOKUP(P51,'Exh 10 Forecast Parameters'!$B$2:$H$5,4,TRUE)*P52</f>
        <v>687.96373930149377</v>
      </c>
      <c r="Q54" s="78">
        <f>HLOOKUP(Q51,'Exh 10 Forecast Parameters'!$B$2:$H$5,4,TRUE)*Q52</f>
        <v>717.83512486196469</v>
      </c>
      <c r="R54" s="78">
        <f>HLOOKUP(R51,'Exh 10 Forecast Parameters'!$B$2:$H$5,4,TRUE)*R52</f>
        <v>739.42832325293728</v>
      </c>
      <c r="S54" s="78">
        <f>HLOOKUP(S51,'Exh 10 Forecast Parameters'!$B$2:$H$5,4,TRUE)*S52</f>
        <v>760.92942003648614</v>
      </c>
      <c r="T54" s="78">
        <f>HLOOKUP(T51,'Exh 10 Forecast Parameters'!$B$2:$H$5,4,TRUE)*T52</f>
        <v>782.29251350401034</v>
      </c>
      <c r="U54" s="78">
        <f>HLOOKUP(U51,'Exh 10 Forecast Parameters'!$B$2:$H$5,4,TRUE)*U52</f>
        <v>803.47073642959083</v>
      </c>
    </row>
    <row r="55" spans="1:21" ht="12.95" customHeight="1" x14ac:dyDescent="0.25">
      <c r="A55" s="73"/>
      <c r="B55" s="73" t="s">
        <v>13</v>
      </c>
      <c r="C55" s="73"/>
      <c r="D55" s="73"/>
      <c r="E55" s="73"/>
      <c r="F55" s="73"/>
      <c r="G55" s="78"/>
      <c r="H55" s="78"/>
      <c r="I55" s="78"/>
      <c r="J55" s="78"/>
      <c r="K55" s="78"/>
      <c r="L55" s="83">
        <v>158</v>
      </c>
      <c r="M55" s="83">
        <v>227.2</v>
      </c>
      <c r="N55" s="83">
        <v>303.10000000000002</v>
      </c>
      <c r="O55" s="78">
        <f>HLOOKUP(O51,'Exh 10 Forecast Parameters'!$B$2:$H$6,5,TRUE)*O52</f>
        <v>322.65405986400003</v>
      </c>
      <c r="P55" s="78">
        <f>HLOOKUP(P51,'Exh 10 Forecast Parameters'!$B$2:$H$6,5,TRUE)*P52</f>
        <v>364.21609727726138</v>
      </c>
      <c r="Q55" s="78">
        <f>HLOOKUP(Q51,'Exh 10 Forecast Parameters'!$B$2:$H$6,5,TRUE)*Q52</f>
        <v>380.03036022104004</v>
      </c>
      <c r="R55" s="78">
        <f>HLOOKUP(R51,'Exh 10 Forecast Parameters'!$B$2:$H$6,5,TRUE)*R52</f>
        <v>391.46205348684907</v>
      </c>
      <c r="S55" s="78">
        <f>HLOOKUP(S51,'Exh 10 Forecast Parameters'!$B$2:$H$6,5,TRUE)*S52</f>
        <v>402.84498707813964</v>
      </c>
      <c r="T55" s="78">
        <f>HLOOKUP(T51,'Exh 10 Forecast Parameters'!$B$2:$H$6,5,TRUE)*T52</f>
        <v>414.1548600903584</v>
      </c>
      <c r="U55" s="78">
        <f>HLOOKUP(U51,'Exh 10 Forecast Parameters'!$B$2:$H$6,5,TRUE)*U52</f>
        <v>425.3668604627245</v>
      </c>
    </row>
    <row r="56" spans="1:21" ht="12.95" customHeight="1" x14ac:dyDescent="0.25">
      <c r="A56" s="73"/>
      <c r="B56" s="73" t="s">
        <v>14</v>
      </c>
      <c r="C56" s="73"/>
      <c r="D56" s="86"/>
      <c r="E56" s="73"/>
      <c r="F56" s="82"/>
      <c r="G56" s="82"/>
      <c r="H56" s="82"/>
      <c r="I56" s="82"/>
      <c r="J56" s="82"/>
      <c r="K56" s="82"/>
      <c r="L56" s="83">
        <f>SUM('Exh 6 Stores BS'!H52:K52)/4</f>
        <v>98.5</v>
      </c>
      <c r="M56" s="83">
        <f>SUM('Exh 6 Stores BS'!I52:L52)/4</f>
        <v>98.5</v>
      </c>
      <c r="N56" s="83">
        <f>SUM('Exh 6 Stores BS'!J52:M52)/4</f>
        <v>98.5</v>
      </c>
      <c r="O56" s="82">
        <f>SUM('Exh 6 Stores BS'!K52:N52)/4</f>
        <v>98.5</v>
      </c>
      <c r="P56" s="82">
        <f>SUM('Exh 6 Stores BS'!L52:O52)/4</f>
        <v>0</v>
      </c>
      <c r="Q56" s="82">
        <f>SUM('Exh 6 Stores BS'!M52:P52)/4</f>
        <v>0</v>
      </c>
      <c r="R56" s="82">
        <f>SUM('Exh 6 Stores BS'!N52:Q52)/4</f>
        <v>0</v>
      </c>
      <c r="S56" s="82">
        <f>SUM('Exh 6 Stores BS'!O52:R52)/4</f>
        <v>0</v>
      </c>
      <c r="T56" s="82">
        <f>SUM('Exh 6 Stores BS'!P52:S52)/4</f>
        <v>80.779566328666888</v>
      </c>
      <c r="U56" s="82">
        <f>SUM('Exh 6 Stores BS'!Q52:T52)/4</f>
        <v>80.779566328666888</v>
      </c>
    </row>
    <row r="57" spans="1:21" ht="12.95" customHeight="1" x14ac:dyDescent="0.25">
      <c r="A57" s="73"/>
      <c r="B57" s="73" t="s">
        <v>10</v>
      </c>
      <c r="C57" s="73"/>
      <c r="D57" s="73"/>
      <c r="E57" s="87"/>
      <c r="F57" s="82"/>
      <c r="G57" s="82"/>
      <c r="H57" s="82"/>
      <c r="I57" s="82"/>
      <c r="J57" s="82"/>
      <c r="K57" s="82"/>
      <c r="L57" s="83">
        <v>280</v>
      </c>
      <c r="M57" s="83">
        <f>L57</f>
        <v>280</v>
      </c>
      <c r="N57" s="83">
        <f>M57</f>
        <v>280</v>
      </c>
      <c r="O57" s="85">
        <f>N57</f>
        <v>280</v>
      </c>
      <c r="P57" s="85">
        <f>O57</f>
        <v>280</v>
      </c>
      <c r="Q57" s="85">
        <f>P57</f>
        <v>280</v>
      </c>
      <c r="R57" s="82">
        <f>ROUND(Q57*(1+$D$109)^6,0)</f>
        <v>315</v>
      </c>
      <c r="S57" s="85">
        <f>R57</f>
        <v>315</v>
      </c>
      <c r="T57" s="85">
        <f>S57</f>
        <v>315</v>
      </c>
      <c r="U57" s="85">
        <f>T57</f>
        <v>315</v>
      </c>
    </row>
    <row r="58" spans="1:21" ht="12.95" customHeight="1" x14ac:dyDescent="0.25">
      <c r="A58" s="73"/>
      <c r="B58" s="73"/>
      <c r="C58" s="73"/>
      <c r="D58" s="73"/>
      <c r="E58" s="73"/>
      <c r="F58" s="73"/>
      <c r="G58" s="73"/>
      <c r="H58" s="73"/>
      <c r="I58" s="73"/>
      <c r="J58" s="73"/>
      <c r="K58" s="73"/>
      <c r="L58" s="73"/>
      <c r="M58" s="73"/>
      <c r="N58" s="73"/>
      <c r="O58" s="73"/>
      <c r="P58" s="73"/>
      <c r="Q58" s="73"/>
      <c r="R58" s="73"/>
      <c r="S58" s="73"/>
      <c r="T58" s="73"/>
      <c r="U58" s="73"/>
    </row>
    <row r="59" spans="1:21" ht="12.95" customHeight="1" x14ac:dyDescent="0.25">
      <c r="A59" s="89">
        <v>2010</v>
      </c>
      <c r="B59" s="79"/>
      <c r="C59" s="80">
        <v>2</v>
      </c>
      <c r="D59" s="80">
        <v>14700</v>
      </c>
      <c r="E59" s="79"/>
      <c r="F59" s="79"/>
      <c r="G59" s="79"/>
      <c r="H59" s="79"/>
      <c r="I59" s="79"/>
      <c r="J59" s="79"/>
      <c r="K59" s="79"/>
      <c r="L59" s="79"/>
      <c r="M59" s="79">
        <v>1</v>
      </c>
      <c r="N59" s="79">
        <v>2</v>
      </c>
      <c r="O59" s="79">
        <v>3</v>
      </c>
      <c r="P59" s="79">
        <v>4</v>
      </c>
      <c r="Q59" s="79">
        <v>5</v>
      </c>
      <c r="R59" s="79">
        <v>6</v>
      </c>
      <c r="S59" s="79">
        <v>7</v>
      </c>
      <c r="T59" s="79">
        <v>8</v>
      </c>
      <c r="U59" s="79">
        <v>9</v>
      </c>
    </row>
    <row r="60" spans="1:21" ht="12.95" customHeight="1" x14ac:dyDescent="0.25">
      <c r="A60" s="73"/>
      <c r="B60" s="73" t="s">
        <v>24</v>
      </c>
      <c r="C60" s="73"/>
      <c r="D60" s="73"/>
      <c r="E60" s="73"/>
      <c r="F60" s="73"/>
      <c r="G60" s="73"/>
      <c r="H60" s="73"/>
      <c r="I60" s="73"/>
      <c r="J60" s="73"/>
      <c r="K60" s="73"/>
      <c r="L60" s="73"/>
      <c r="M60" s="83">
        <v>3007.7</v>
      </c>
      <c r="N60" s="83">
        <v>5300</v>
      </c>
      <c r="O60" s="78">
        <f>N60*(1+HLOOKUP(O59,'Exh 10 Forecast Parameters'!$B$2:$H$3,2,TRUE))*(1+HLOOKUP(O$2,'Exh 4 Econ Indicators'!$B$2:$S$8,7,FALSE))</f>
        <v>7287.7650000000003</v>
      </c>
      <c r="P60" s="78">
        <f>O60*(1+HLOOKUP(P59,'Exh 10 Forecast Parameters'!$B$2:$H$3,2,TRUE))*(1+HLOOKUP(P$2,'Exh 4 Econ Indicators'!$B$2:$S$8,7,FALSE))</f>
        <v>9216.4064173650004</v>
      </c>
      <c r="Q60" s="78">
        <f>P60*(1+HLOOKUP(Q59,'Exh 10 Forecast Parameters'!$B$2:$H$3,2,TRUE))*(1+HLOOKUP(Q$2,'Exh 4 Econ Indicators'!$B$2:$S$8,7,FALSE))</f>
        <v>10393.488979365189</v>
      </c>
      <c r="R60" s="78">
        <f>Q60*(1+HLOOKUP(R59,'Exh 10 Forecast Parameters'!$B$2:$H$3,2,TRUE))*(1+HLOOKUP(R$2,'Exh 4 Econ Indicators'!$B$2:$S$8,7,FALSE))</f>
        <v>10834.224879535168</v>
      </c>
      <c r="S60" s="78">
        <f>R60*(1+HLOOKUP(S59,'Exh 10 Forecast Parameters'!$B$2:$H$3,2,TRUE))*(1+HLOOKUP(S$2,'Exh 4 Econ Indicators'!$B$2:$S$8,7,FALSE))</f>
        <v>11149.262470582291</v>
      </c>
      <c r="T60" s="78">
        <f>S60*(1+HLOOKUP(T59,'Exh 10 Forecast Parameters'!$B$2:$H$3,2,TRUE))*(1+HLOOKUP(T$2,'Exh 4 Econ Indicators'!$B$2:$S$8,7,FALSE))</f>
        <v>11462.278014443886</v>
      </c>
      <c r="U60" s="78">
        <f>T60*(1+HLOOKUP(U59,'Exh 10 Forecast Parameters'!$B$2:$H$3,2,TRUE))*(1+HLOOKUP(U$2,'Exh 4 Econ Indicators'!$B$2:$S$8,7,FALSE))</f>
        <v>11772.584804850911</v>
      </c>
    </row>
    <row r="61" spans="1:21" ht="12.95" customHeight="1" x14ac:dyDescent="0.25">
      <c r="A61" s="73"/>
      <c r="B61" s="73" t="s">
        <v>1</v>
      </c>
      <c r="C61" s="73"/>
      <c r="D61" s="73"/>
      <c r="E61" s="73"/>
      <c r="F61" s="73"/>
      <c r="G61" s="73"/>
      <c r="H61" s="73"/>
      <c r="I61" s="73"/>
      <c r="J61" s="73"/>
      <c r="K61" s="73"/>
      <c r="L61" s="73"/>
      <c r="M61" s="83">
        <v>2226</v>
      </c>
      <c r="N61" s="83">
        <v>3525.6</v>
      </c>
      <c r="O61" s="78">
        <f>HLOOKUP(O59,'Exh 10 Forecast Parameters'!$B$2:$H$4,3,TRUE)*O60</f>
        <v>4095.7239300000006</v>
      </c>
      <c r="P61" s="78">
        <f>HLOOKUP(P59,'Exh 10 Forecast Parameters'!$B$2:$H$4,3,TRUE)*P60</f>
        <v>3677.3461605286352</v>
      </c>
      <c r="Q61" s="78">
        <f>HLOOKUP(Q59,'Exh 10 Forecast Parameters'!$B$2:$H$4,3,TRUE)*Q60</f>
        <v>4147.0021027667108</v>
      </c>
      <c r="R61" s="78">
        <f>HLOOKUP(R59,'Exh 10 Forecast Parameters'!$B$2:$H$4,3,TRUE)*R60</f>
        <v>4322.855726934532</v>
      </c>
      <c r="S61" s="78">
        <f>HLOOKUP(S59,'Exh 10 Forecast Parameters'!$B$2:$H$4,3,TRUE)*S60</f>
        <v>4448.5557257623341</v>
      </c>
      <c r="T61" s="78">
        <f>HLOOKUP(T59,'Exh 10 Forecast Parameters'!$B$2:$H$4,3,TRUE)*T60</f>
        <v>4573.448927763111</v>
      </c>
      <c r="U61" s="78">
        <f>HLOOKUP(U59,'Exh 10 Forecast Parameters'!$B$2:$H$4,3,TRUE)*U60</f>
        <v>4697.2613371355137</v>
      </c>
    </row>
    <row r="62" spans="1:21" ht="12.95" customHeight="1" x14ac:dyDescent="0.25">
      <c r="A62" s="73"/>
      <c r="B62" s="73" t="s">
        <v>15</v>
      </c>
      <c r="C62" s="73"/>
      <c r="D62" s="73"/>
      <c r="E62" s="73"/>
      <c r="F62" s="73"/>
      <c r="G62" s="78"/>
      <c r="H62" s="78"/>
      <c r="I62" s="78"/>
      <c r="J62" s="78"/>
      <c r="K62" s="78"/>
      <c r="L62" s="78"/>
      <c r="M62" s="83">
        <v>622.70000000000005</v>
      </c>
      <c r="N62" s="83">
        <v>1028</v>
      </c>
      <c r="O62" s="78">
        <f>HLOOKUP(O59,'Exh 10 Forecast Parameters'!$B$2:$H$5,4,TRUE)*O60</f>
        <v>1260.7833450000001</v>
      </c>
      <c r="P62" s="78">
        <f>HLOOKUP(P59,'Exh 10 Forecast Parameters'!$B$2:$H$5,4,TRUE)*P60</f>
        <v>1253.4312727616402</v>
      </c>
      <c r="Q62" s="78">
        <f>HLOOKUP(Q59,'Exh 10 Forecast Parameters'!$B$2:$H$5,4,TRUE)*Q60</f>
        <v>1413.5145011936659</v>
      </c>
      <c r="R62" s="78">
        <f>HLOOKUP(R59,'Exh 10 Forecast Parameters'!$B$2:$H$5,4,TRUE)*R60</f>
        <v>1473.4545836167829</v>
      </c>
      <c r="S62" s="78">
        <f>HLOOKUP(S59,'Exh 10 Forecast Parameters'!$B$2:$H$5,4,TRUE)*S60</f>
        <v>1516.2996959991917</v>
      </c>
      <c r="T62" s="78">
        <f>HLOOKUP(T59,'Exh 10 Forecast Parameters'!$B$2:$H$5,4,TRUE)*T60</f>
        <v>1558.8698099643686</v>
      </c>
      <c r="U62" s="78">
        <f>HLOOKUP(U59,'Exh 10 Forecast Parameters'!$B$2:$H$5,4,TRUE)*U60</f>
        <v>1601.0715334597239</v>
      </c>
    </row>
    <row r="63" spans="1:21" ht="12.95" customHeight="1" x14ac:dyDescent="0.25">
      <c r="A63" s="73"/>
      <c r="B63" s="73" t="s">
        <v>13</v>
      </c>
      <c r="C63" s="73"/>
      <c r="D63" s="73"/>
      <c r="E63" s="73"/>
      <c r="F63" s="73"/>
      <c r="G63" s="78"/>
      <c r="H63" s="78"/>
      <c r="I63" s="78"/>
      <c r="J63" s="78"/>
      <c r="K63" s="78"/>
      <c r="L63" s="78"/>
      <c r="M63" s="83">
        <v>352.9</v>
      </c>
      <c r="N63" s="83">
        <v>472.8</v>
      </c>
      <c r="O63" s="78">
        <f>HLOOKUP(O59,'Exh 10 Forecast Parameters'!$B$2:$H$6,5,TRUE)*O60</f>
        <v>597.59673000000009</v>
      </c>
      <c r="P63" s="78">
        <f>HLOOKUP(P59,'Exh 10 Forecast Parameters'!$B$2:$H$6,5,TRUE)*P60</f>
        <v>663.58126205027997</v>
      </c>
      <c r="Q63" s="78">
        <f>HLOOKUP(Q59,'Exh 10 Forecast Parameters'!$B$2:$H$6,5,TRUE)*Q60</f>
        <v>748.33120651429351</v>
      </c>
      <c r="R63" s="78">
        <f>HLOOKUP(R59,'Exh 10 Forecast Parameters'!$B$2:$H$6,5,TRUE)*R60</f>
        <v>780.06419132653207</v>
      </c>
      <c r="S63" s="78">
        <f>HLOOKUP(S59,'Exh 10 Forecast Parameters'!$B$2:$H$6,5,TRUE)*S60</f>
        <v>802.74689788192484</v>
      </c>
      <c r="T63" s="78">
        <f>HLOOKUP(T59,'Exh 10 Forecast Parameters'!$B$2:$H$6,5,TRUE)*T60</f>
        <v>825.28401703995974</v>
      </c>
      <c r="U63" s="78">
        <f>HLOOKUP(U59,'Exh 10 Forecast Parameters'!$B$2:$H$6,5,TRUE)*U60</f>
        <v>847.62610594926548</v>
      </c>
    </row>
    <row r="64" spans="1:21" ht="12.95" customHeight="1" x14ac:dyDescent="0.25">
      <c r="A64" s="73"/>
      <c r="B64" s="73" t="s">
        <v>14</v>
      </c>
      <c r="C64" s="73"/>
      <c r="D64" s="86"/>
      <c r="E64" s="73"/>
      <c r="F64" s="82"/>
      <c r="G64" s="82"/>
      <c r="H64" s="82"/>
      <c r="I64" s="82"/>
      <c r="J64" s="82"/>
      <c r="K64" s="82"/>
      <c r="L64" s="82"/>
      <c r="M64" s="83">
        <f>SUM('Exh 6 Stores BS'!I60:L60)/4</f>
        <v>188</v>
      </c>
      <c r="N64" s="83">
        <f>SUM('Exh 6 Stores BS'!J60:M60)/4</f>
        <v>188</v>
      </c>
      <c r="O64" s="82">
        <f>SUM('Exh 6 Stores BS'!K60:N60)/4</f>
        <v>188</v>
      </c>
      <c r="P64" s="82">
        <f>SUM('Exh 6 Stores BS'!L60:O60)/4</f>
        <v>188</v>
      </c>
      <c r="Q64" s="82">
        <f>SUM('Exh 6 Stores BS'!M60:P60)/4</f>
        <v>0</v>
      </c>
      <c r="R64" s="82">
        <f>SUM('Exh 6 Stores BS'!N60:Q60)/4</f>
        <v>0</v>
      </c>
      <c r="S64" s="82">
        <f>SUM('Exh 6 Stores BS'!O60:R60)/4</f>
        <v>0</v>
      </c>
      <c r="T64" s="82">
        <f>SUM('Exh 6 Stores BS'!P60:S60)/4</f>
        <v>0</v>
      </c>
      <c r="U64" s="82">
        <f>SUM('Exh 6 Stores BS'!Q60:T60)/4</f>
        <v>155.35443225230611</v>
      </c>
    </row>
    <row r="65" spans="1:21" ht="12.95" customHeight="1" x14ac:dyDescent="0.25">
      <c r="A65" s="73"/>
      <c r="B65" s="73" t="s">
        <v>10</v>
      </c>
      <c r="C65" s="73"/>
      <c r="D65" s="73"/>
      <c r="E65" s="87"/>
      <c r="F65" s="82"/>
      <c r="G65" s="82"/>
      <c r="H65" s="82"/>
      <c r="I65" s="82"/>
      <c r="J65" s="82"/>
      <c r="K65" s="82"/>
      <c r="L65" s="82"/>
      <c r="M65" s="83">
        <v>565</v>
      </c>
      <c r="N65" s="83">
        <f>M65</f>
        <v>565</v>
      </c>
      <c r="O65" s="85">
        <f>N65</f>
        <v>565</v>
      </c>
      <c r="P65" s="85">
        <f>O65</f>
        <v>565</v>
      </c>
      <c r="Q65" s="85">
        <f>P65</f>
        <v>565</v>
      </c>
      <c r="R65" s="85">
        <f>Q65</f>
        <v>565</v>
      </c>
      <c r="S65" s="82">
        <f>ROUND(R65*(1+$D$109)^6,0)</f>
        <v>636</v>
      </c>
      <c r="T65" s="85">
        <f>S65</f>
        <v>636</v>
      </c>
      <c r="U65" s="85">
        <f>T65</f>
        <v>636</v>
      </c>
    </row>
    <row r="66" spans="1:21" ht="12.95" customHeight="1" x14ac:dyDescent="0.25">
      <c r="A66" s="73"/>
      <c r="B66" s="73"/>
      <c r="C66" s="73"/>
      <c r="D66" s="73"/>
      <c r="E66" s="73"/>
      <c r="F66" s="73"/>
      <c r="G66" s="73"/>
      <c r="H66" s="73"/>
      <c r="I66" s="73"/>
      <c r="J66" s="73"/>
      <c r="K66" s="73"/>
      <c r="L66" s="73"/>
      <c r="M66" s="73"/>
      <c r="N66" s="73"/>
      <c r="O66" s="73"/>
      <c r="P66" s="73"/>
      <c r="Q66" s="73"/>
      <c r="R66" s="73"/>
      <c r="S66" s="73"/>
      <c r="T66" s="73"/>
      <c r="U66" s="73"/>
    </row>
    <row r="67" spans="1:21" ht="12.95" customHeight="1" x14ac:dyDescent="0.25">
      <c r="A67" s="89">
        <v>2011</v>
      </c>
      <c r="B67" s="79"/>
      <c r="C67" s="80">
        <v>2</v>
      </c>
      <c r="D67" s="80">
        <v>15400</v>
      </c>
      <c r="E67" s="79"/>
      <c r="F67" s="79"/>
      <c r="G67" s="79"/>
      <c r="H67" s="79"/>
      <c r="I67" s="79"/>
      <c r="J67" s="79"/>
      <c r="K67" s="79"/>
      <c r="L67" s="79"/>
      <c r="M67" s="79"/>
      <c r="N67" s="79">
        <v>1</v>
      </c>
      <c r="O67" s="79">
        <v>2</v>
      </c>
      <c r="P67" s="79">
        <v>3</v>
      </c>
      <c r="Q67" s="79">
        <v>4</v>
      </c>
      <c r="R67" s="79">
        <v>5</v>
      </c>
      <c r="S67" s="79">
        <v>6</v>
      </c>
      <c r="T67" s="79">
        <v>7</v>
      </c>
      <c r="U67" s="79">
        <v>8</v>
      </c>
    </row>
    <row r="68" spans="1:21" ht="12.95" customHeight="1" x14ac:dyDescent="0.25">
      <c r="A68" s="73"/>
      <c r="B68" s="73" t="s">
        <v>24</v>
      </c>
      <c r="C68" s="73"/>
      <c r="D68" s="73"/>
      <c r="E68" s="73"/>
      <c r="F68" s="73"/>
      <c r="G68" s="73"/>
      <c r="H68" s="73"/>
      <c r="I68" s="73"/>
      <c r="J68" s="73"/>
      <c r="K68" s="73"/>
      <c r="L68" s="73"/>
      <c r="M68" s="82"/>
      <c r="N68" s="83">
        <v>3353.7</v>
      </c>
      <c r="O68" s="78">
        <f>N68*(1+HLOOKUP(O67,'Exh 10 Forecast Parameters'!$B$2:$H$3,2,TRUE))*(1+HLOOKUP(O$2,'Exh 4 Econ Indicators'!$B$2:$S$8,7,FALSE))</f>
        <v>5879.237321999999</v>
      </c>
      <c r="P68" s="78">
        <f>O68*(1+HLOOKUP(P67,'Exh 10 Forecast Parameters'!$B$2:$H$3,2,TRUE))*(1+HLOOKUP(P$2,'Exh 4 Econ Indicators'!$B$2:$S$8,7,FALSE))</f>
        <v>8076.3964977912283</v>
      </c>
      <c r="Q68" s="78">
        <f>P68*(1+HLOOKUP(Q67,'Exh 10 Forecast Parameters'!$B$2:$H$3,2,TRUE))*(1+HLOOKUP(Q$2,'Exh 4 Econ Indicators'!$B$2:$S$8,7,FALSE))</f>
        <v>10203.816252067412</v>
      </c>
      <c r="R68" s="78">
        <f>Q68*(1+HLOOKUP(R67,'Exh 10 Forecast Parameters'!$B$2:$H$3,2,TRUE))*(1+HLOOKUP(R$2,'Exh 4 Econ Indicators'!$B$2:$S$8,7,FALSE))</f>
        <v>11495.813262087935</v>
      </c>
      <c r="S68" s="78">
        <f>R68*(1+HLOOKUP(S67,'Exh 10 Forecast Parameters'!$B$2:$H$3,2,TRUE))*(1+HLOOKUP(S$2,'Exh 4 Econ Indicators'!$B$2:$S$8,7,FALSE))</f>
        <v>11971.624973005755</v>
      </c>
      <c r="T68" s="78">
        <f>S68*(1+HLOOKUP(T67,'Exh 10 Forecast Parameters'!$B$2:$H$3,2,TRUE))*(1+HLOOKUP(T$2,'Exh 4 Econ Indicators'!$B$2:$S$8,7,FALSE))</f>
        <v>12307.728344122888</v>
      </c>
      <c r="U68" s="78">
        <f>T68*(1+HLOOKUP(U67,'Exh 10 Forecast Parameters'!$B$2:$H$3,2,TRUE))*(1+HLOOKUP(U$2,'Exh 4 Econ Indicators'!$B$2:$S$8,7,FALSE))</f>
        <v>12640.923165854982</v>
      </c>
    </row>
    <row r="69" spans="1:21" ht="12.95" customHeight="1" x14ac:dyDescent="0.25">
      <c r="A69" s="73"/>
      <c r="B69" s="73" t="s">
        <v>1</v>
      </c>
      <c r="C69" s="73"/>
      <c r="D69" s="73"/>
      <c r="E69" s="73"/>
      <c r="F69" s="73"/>
      <c r="G69" s="73"/>
      <c r="H69" s="73"/>
      <c r="I69" s="73"/>
      <c r="J69" s="73"/>
      <c r="K69" s="73"/>
      <c r="L69" s="73"/>
      <c r="M69" s="78"/>
      <c r="N69" s="83">
        <v>2357.1</v>
      </c>
      <c r="O69" s="78">
        <f>HLOOKUP(O67,'Exh 10 Forecast Parameters'!$B$2:$H$4,3,TRUE)*O68</f>
        <v>3745.0741741139996</v>
      </c>
      <c r="P69" s="78">
        <f>HLOOKUP(P67,'Exh 10 Forecast Parameters'!$B$2:$H$4,3,TRUE)*P68</f>
        <v>4538.934831758671</v>
      </c>
      <c r="Q69" s="78">
        <f>HLOOKUP(Q67,'Exh 10 Forecast Parameters'!$B$2:$H$4,3,TRUE)*Q68</f>
        <v>4071.3226845748977</v>
      </c>
      <c r="R69" s="78">
        <f>HLOOKUP(R67,'Exh 10 Forecast Parameters'!$B$2:$H$4,3,TRUE)*R68</f>
        <v>4586.8294915730867</v>
      </c>
      <c r="S69" s="78">
        <f>HLOOKUP(S67,'Exh 10 Forecast Parameters'!$B$2:$H$4,3,TRUE)*S68</f>
        <v>4776.6783642292967</v>
      </c>
      <c r="T69" s="78">
        <f>HLOOKUP(T67,'Exh 10 Forecast Parameters'!$B$2:$H$4,3,TRUE)*T68</f>
        <v>4910.7836093050328</v>
      </c>
      <c r="U69" s="78">
        <f>HLOOKUP(U67,'Exh 10 Forecast Parameters'!$B$2:$H$4,3,TRUE)*U68</f>
        <v>5043.728343176138</v>
      </c>
    </row>
    <row r="70" spans="1:21" ht="12.95" customHeight="1" x14ac:dyDescent="0.25">
      <c r="A70" s="73"/>
      <c r="B70" s="73" t="s">
        <v>15</v>
      </c>
      <c r="C70" s="73"/>
      <c r="D70" s="73"/>
      <c r="E70" s="73"/>
      <c r="F70" s="73"/>
      <c r="G70" s="78"/>
      <c r="H70" s="78"/>
      <c r="I70" s="78"/>
      <c r="J70" s="78"/>
      <c r="K70" s="78"/>
      <c r="L70" s="78"/>
      <c r="M70" s="78"/>
      <c r="N70" s="83">
        <v>700.9</v>
      </c>
      <c r="O70" s="78">
        <f>HLOOKUP(O67,'Exh 10 Forecast Parameters'!$B$2:$H$5,4,TRUE)*O68</f>
        <v>1075.9004299259998</v>
      </c>
      <c r="P70" s="78">
        <f>HLOOKUP(P67,'Exh 10 Forecast Parameters'!$B$2:$H$5,4,TRUE)*P68</f>
        <v>1397.2165941178823</v>
      </c>
      <c r="Q70" s="78">
        <f>HLOOKUP(Q67,'Exh 10 Forecast Parameters'!$B$2:$H$5,4,TRUE)*Q68</f>
        <v>1387.7190102811683</v>
      </c>
      <c r="R70" s="78">
        <f>HLOOKUP(R67,'Exh 10 Forecast Parameters'!$B$2:$H$5,4,TRUE)*R68</f>
        <v>1563.4306036439593</v>
      </c>
      <c r="S70" s="78">
        <f>HLOOKUP(S67,'Exh 10 Forecast Parameters'!$B$2:$H$5,4,TRUE)*S68</f>
        <v>1628.1409963287829</v>
      </c>
      <c r="T70" s="78">
        <f>HLOOKUP(T67,'Exh 10 Forecast Parameters'!$B$2:$H$5,4,TRUE)*T68</f>
        <v>1673.851054800713</v>
      </c>
      <c r="U70" s="78">
        <f>HLOOKUP(U67,'Exh 10 Forecast Parameters'!$B$2:$H$5,4,TRUE)*U68</f>
        <v>1719.1655505562776</v>
      </c>
    </row>
    <row r="71" spans="1:21" ht="12.95" customHeight="1" x14ac:dyDescent="0.25">
      <c r="A71" s="73"/>
      <c r="B71" s="73" t="s">
        <v>13</v>
      </c>
      <c r="C71" s="73"/>
      <c r="D71" s="73"/>
      <c r="E71" s="73"/>
      <c r="F71" s="73"/>
      <c r="G71" s="78"/>
      <c r="H71" s="78"/>
      <c r="I71" s="78"/>
      <c r="J71" s="78"/>
      <c r="K71" s="78"/>
      <c r="L71" s="78"/>
      <c r="M71" s="78"/>
      <c r="N71" s="83">
        <v>358.3</v>
      </c>
      <c r="O71" s="78">
        <f>HLOOKUP(O67,'Exh 10 Forecast Parameters'!$B$2:$H$6,5,TRUE)*O68</f>
        <v>523.25212165799985</v>
      </c>
      <c r="P71" s="78">
        <f>HLOOKUP(P67,'Exh 10 Forecast Parameters'!$B$2:$H$6,5,TRUE)*P68</f>
        <v>662.2645128188808</v>
      </c>
      <c r="Q71" s="78">
        <f>HLOOKUP(Q67,'Exh 10 Forecast Parameters'!$B$2:$H$6,5,TRUE)*Q68</f>
        <v>734.67477014885367</v>
      </c>
      <c r="R71" s="78">
        <f>HLOOKUP(R67,'Exh 10 Forecast Parameters'!$B$2:$H$6,5,TRUE)*R68</f>
        <v>827.69855487033124</v>
      </c>
      <c r="S71" s="78">
        <f>HLOOKUP(S67,'Exh 10 Forecast Parameters'!$B$2:$H$6,5,TRUE)*S68</f>
        <v>861.95699805641436</v>
      </c>
      <c r="T71" s="78">
        <f>HLOOKUP(T67,'Exh 10 Forecast Parameters'!$B$2:$H$6,5,TRUE)*T68</f>
        <v>886.15644077684794</v>
      </c>
      <c r="U71" s="78">
        <f>HLOOKUP(U67,'Exh 10 Forecast Parameters'!$B$2:$H$6,5,TRUE)*U68</f>
        <v>910.14646794155863</v>
      </c>
    </row>
    <row r="72" spans="1:21" ht="12.95" customHeight="1" x14ac:dyDescent="0.25">
      <c r="A72" s="73"/>
      <c r="B72" s="73" t="s">
        <v>14</v>
      </c>
      <c r="C72" s="73"/>
      <c r="D72" s="86"/>
      <c r="E72" s="73"/>
      <c r="F72" s="82"/>
      <c r="G72" s="82"/>
      <c r="H72" s="82"/>
      <c r="I72" s="82"/>
      <c r="J72" s="82"/>
      <c r="K72" s="82"/>
      <c r="L72" s="82"/>
      <c r="M72" s="82"/>
      <c r="N72" s="83">
        <f>SUM('Exh 6 Stores BS'!J68:M68)/4</f>
        <v>199.5</v>
      </c>
      <c r="O72" s="82">
        <f>SUM('Exh 6 Stores BS'!K68:N68)/4</f>
        <v>199.5</v>
      </c>
      <c r="P72" s="82">
        <f>SUM('Exh 6 Stores BS'!L68:O68)/4</f>
        <v>199.5</v>
      </c>
      <c r="Q72" s="82">
        <f>SUM('Exh 6 Stores BS'!M68:P68)/4</f>
        <v>199.5</v>
      </c>
      <c r="R72" s="82">
        <f>SUM('Exh 6 Stores BS'!N68:Q68)/4</f>
        <v>0</v>
      </c>
      <c r="S72" s="82">
        <f>SUM('Exh 6 Stores BS'!O68:R68)/4</f>
        <v>0</v>
      </c>
      <c r="T72" s="82">
        <f>SUM('Exh 6 Stores BS'!P68:S68)/4</f>
        <v>0</v>
      </c>
      <c r="U72" s="82">
        <f>SUM('Exh 6 Stores BS'!Q68:T68)/4</f>
        <v>0</v>
      </c>
    </row>
    <row r="73" spans="1:21" ht="12.95" customHeight="1" x14ac:dyDescent="0.25">
      <c r="A73" s="73"/>
      <c r="B73" s="73" t="s">
        <v>10</v>
      </c>
      <c r="C73" s="73"/>
      <c r="D73" s="73"/>
      <c r="E73" s="87"/>
      <c r="F73" s="82"/>
      <c r="G73" s="82"/>
      <c r="H73" s="82"/>
      <c r="I73" s="82"/>
      <c r="J73" s="82"/>
      <c r="K73" s="82"/>
      <c r="L73" s="82"/>
      <c r="M73" s="82"/>
      <c r="N73" s="83">
        <v>610</v>
      </c>
      <c r="O73" s="85">
        <f>N73</f>
        <v>610</v>
      </c>
      <c r="P73" s="85">
        <f>O73</f>
        <v>610</v>
      </c>
      <c r="Q73" s="85">
        <f>P73</f>
        <v>610</v>
      </c>
      <c r="R73" s="85">
        <f>Q73</f>
        <v>610</v>
      </c>
      <c r="S73" s="85">
        <f>R73</f>
        <v>610</v>
      </c>
      <c r="T73" s="82">
        <f>ROUND(S73*(1+$D$109)^6,0)</f>
        <v>687</v>
      </c>
      <c r="U73" s="85">
        <f>T73</f>
        <v>687</v>
      </c>
    </row>
    <row r="74" spans="1:21" ht="12.95" customHeight="1" x14ac:dyDescent="0.25">
      <c r="A74" s="73"/>
      <c r="B74" s="73"/>
      <c r="C74" s="73"/>
      <c r="D74" s="73"/>
      <c r="E74" s="73"/>
      <c r="F74" s="73"/>
      <c r="G74" s="73"/>
      <c r="H74" s="73"/>
      <c r="I74" s="73"/>
      <c r="J74" s="73"/>
      <c r="K74" s="73"/>
      <c r="L74" s="73"/>
      <c r="M74" s="73"/>
      <c r="N74" s="73"/>
      <c r="O74" s="73"/>
      <c r="P74" s="73"/>
      <c r="Q74" s="73"/>
      <c r="R74" s="73"/>
      <c r="S74" s="73"/>
      <c r="T74" s="73"/>
      <c r="U74" s="73"/>
    </row>
    <row r="75" spans="1:21" ht="12.95" customHeight="1" x14ac:dyDescent="0.25">
      <c r="A75" s="89">
        <v>2012</v>
      </c>
      <c r="B75" s="79"/>
      <c r="C75" s="80">
        <v>3</v>
      </c>
      <c r="D75" s="80">
        <v>16300</v>
      </c>
      <c r="E75" s="79"/>
      <c r="F75" s="79"/>
      <c r="G75" s="79"/>
      <c r="H75" s="79"/>
      <c r="I75" s="79"/>
      <c r="J75" s="79"/>
      <c r="K75" s="79"/>
      <c r="L75" s="79"/>
      <c r="M75" s="79"/>
      <c r="N75" s="79"/>
      <c r="O75" s="79">
        <v>1</v>
      </c>
      <c r="P75" s="79">
        <v>2</v>
      </c>
      <c r="Q75" s="79">
        <v>3</v>
      </c>
      <c r="R75" s="79">
        <v>4</v>
      </c>
      <c r="S75" s="79">
        <v>5</v>
      </c>
      <c r="T75" s="79">
        <v>6</v>
      </c>
      <c r="U75" s="79">
        <v>7</v>
      </c>
    </row>
    <row r="76" spans="1:21" ht="12.95" customHeight="1" x14ac:dyDescent="0.25">
      <c r="A76" s="73"/>
      <c r="B76" s="73" t="s">
        <v>24</v>
      </c>
      <c r="C76" s="73"/>
      <c r="D76" s="73"/>
      <c r="E76" s="73"/>
      <c r="F76" s="73"/>
      <c r="G76" s="73"/>
      <c r="H76" s="73"/>
      <c r="I76" s="73"/>
      <c r="J76" s="73"/>
      <c r="K76" s="73"/>
      <c r="L76" s="73"/>
      <c r="M76" s="73"/>
      <c r="N76" s="82"/>
      <c r="O76" s="83">
        <f>110*C75*D75/1000</f>
        <v>5379</v>
      </c>
      <c r="P76" s="78">
        <f>O76*(1+HLOOKUP(P75,'Exh 10 Forecast Parameters'!$B$2:$H$3,2,TRUE))*(1+HLOOKUP(P$2,'Exh 4 Econ Indicators'!$B$2:$S$8,7,FALSE))</f>
        <v>9420.5546819999981</v>
      </c>
      <c r="Q76" s="78">
        <f>P76*(1+HLOOKUP(Q75,'Exh 10 Forecast Parameters'!$B$2:$H$3,2,TRUE))*(1+HLOOKUP(Q$2,'Exh 4 Econ Indicators'!$B$2:$S$8,7,FALSE))</f>
        <v>12928.580834483157</v>
      </c>
      <c r="R76" s="78">
        <f>Q76*(1+HLOOKUP(R75,'Exh 10 Forecast Parameters'!$B$2:$H$3,2,TRUE))*(1+HLOOKUP(R$2,'Exh 4 Econ Indicators'!$B$2:$S$8,7,FALSE))</f>
        <v>16318.234943410453</v>
      </c>
      <c r="S76" s="78">
        <f>R76*(1+HLOOKUP(S75,'Exh 10 Forecast Parameters'!$B$2:$H$3,2,TRUE))*(1+HLOOKUP(S$2,'Exh 4 Econ Indicators'!$B$2:$S$8,7,FALSE))</f>
        <v>18366.532429977222</v>
      </c>
      <c r="T76" s="78">
        <f>S76*(1+HLOOKUP(T75,'Exh 10 Forecast Parameters'!$B$2:$H$3,2,TRUE))*(1+HLOOKUP(T$2,'Exh 4 Econ Indicators'!$B$2:$S$8,7,FALSE))</f>
        <v>19108.08117683755</v>
      </c>
      <c r="U76" s="78">
        <f>T76*(1+HLOOKUP(U75,'Exh 10 Forecast Parameters'!$B$2:$H$3,2,TRUE))*(1+HLOOKUP(U$2,'Exh 4 Econ Indicators'!$B$2:$S$8,7,FALSE))</f>
        <v>19625.375150456894</v>
      </c>
    </row>
    <row r="77" spans="1:21" ht="12.95" customHeight="1" x14ac:dyDescent="0.25">
      <c r="A77" s="73"/>
      <c r="B77" s="73" t="s">
        <v>1</v>
      </c>
      <c r="C77" s="73"/>
      <c r="D77" s="73"/>
      <c r="E77" s="73"/>
      <c r="F77" s="73"/>
      <c r="G77" s="73"/>
      <c r="H77" s="73"/>
      <c r="I77" s="73"/>
      <c r="J77" s="73"/>
      <c r="K77" s="73"/>
      <c r="L77" s="73"/>
      <c r="M77" s="73"/>
      <c r="N77" s="78"/>
      <c r="O77" s="78">
        <f>HLOOKUP(O75,'Exh 10 Forecast Parameters'!$B$2:$H$4,3,TRUE)*O76</f>
        <v>3813.7109999999998</v>
      </c>
      <c r="P77" s="78">
        <f>HLOOKUP(P75,'Exh 10 Forecast Parameters'!$B$2:$H$4,3,TRUE)*P76</f>
        <v>6000.8933324339987</v>
      </c>
      <c r="Q77" s="78">
        <f>HLOOKUP(Q75,'Exh 10 Forecast Parameters'!$B$2:$H$4,3,TRUE)*Q76</f>
        <v>7265.8624289795343</v>
      </c>
      <c r="R77" s="78">
        <f>HLOOKUP(R75,'Exh 10 Forecast Parameters'!$B$2:$H$4,3,TRUE)*R76</f>
        <v>6510.975742420771</v>
      </c>
      <c r="S77" s="78">
        <f>HLOOKUP(S75,'Exh 10 Forecast Parameters'!$B$2:$H$4,3,TRUE)*S76</f>
        <v>7328.2464395609122</v>
      </c>
      <c r="T77" s="78">
        <f>HLOOKUP(T75,'Exh 10 Forecast Parameters'!$B$2:$H$4,3,TRUE)*T76</f>
        <v>7624.1243895581829</v>
      </c>
      <c r="U77" s="78">
        <f>HLOOKUP(U75,'Exh 10 Forecast Parameters'!$B$2:$H$4,3,TRUE)*U76</f>
        <v>7830.524685032301</v>
      </c>
    </row>
    <row r="78" spans="1:21" ht="12.95" customHeight="1" x14ac:dyDescent="0.25">
      <c r="A78" s="73"/>
      <c r="B78" s="73" t="s">
        <v>15</v>
      </c>
      <c r="C78" s="73"/>
      <c r="D78" s="73"/>
      <c r="E78" s="73"/>
      <c r="F78" s="73"/>
      <c r="G78" s="78"/>
      <c r="H78" s="78"/>
      <c r="I78" s="78"/>
      <c r="J78" s="78"/>
      <c r="K78" s="78"/>
      <c r="L78" s="78"/>
      <c r="M78" s="78"/>
      <c r="N78" s="78"/>
      <c r="O78" s="78">
        <f>HLOOKUP(O75,'Exh 10 Forecast Parameters'!$B$2:$H$5,4,TRUE)*O76</f>
        <v>1038.1469999999999</v>
      </c>
      <c r="P78" s="78">
        <f>HLOOKUP(P75,'Exh 10 Forecast Parameters'!$B$2:$H$5,4,TRUE)*P76</f>
        <v>1723.9615068059995</v>
      </c>
      <c r="Q78" s="78">
        <f>HLOOKUP(Q75,'Exh 10 Forecast Parameters'!$B$2:$H$5,4,TRUE)*Q76</f>
        <v>2236.6444843655859</v>
      </c>
      <c r="R78" s="78">
        <f>HLOOKUP(R75,'Exh 10 Forecast Parameters'!$B$2:$H$5,4,TRUE)*R76</f>
        <v>2219.2799523038216</v>
      </c>
      <c r="S78" s="78">
        <f>HLOOKUP(S75,'Exh 10 Forecast Parameters'!$B$2:$H$5,4,TRUE)*S76</f>
        <v>2497.8484104769022</v>
      </c>
      <c r="T78" s="78">
        <f>HLOOKUP(T75,'Exh 10 Forecast Parameters'!$B$2:$H$5,4,TRUE)*T76</f>
        <v>2598.6990400499071</v>
      </c>
      <c r="U78" s="78">
        <f>HLOOKUP(U75,'Exh 10 Forecast Parameters'!$B$2:$H$5,4,TRUE)*U76</f>
        <v>2669.0510204621378</v>
      </c>
    </row>
    <row r="79" spans="1:21" ht="12.95" customHeight="1" x14ac:dyDescent="0.25">
      <c r="A79" s="73"/>
      <c r="B79" s="73" t="s">
        <v>13</v>
      </c>
      <c r="C79" s="73"/>
      <c r="D79" s="73"/>
      <c r="E79" s="73"/>
      <c r="F79" s="73"/>
      <c r="G79" s="78"/>
      <c r="H79" s="78"/>
      <c r="I79" s="78"/>
      <c r="J79" s="78"/>
      <c r="K79" s="78"/>
      <c r="L79" s="78"/>
      <c r="M79" s="78"/>
      <c r="N79" s="78"/>
      <c r="O79" s="78">
        <f>HLOOKUP(O75,'Exh 10 Forecast Parameters'!$B$2:$H$6,5,TRUE)*O76</f>
        <v>623.96400000000006</v>
      </c>
      <c r="P79" s="78">
        <f>HLOOKUP(P75,'Exh 10 Forecast Parameters'!$B$2:$H$6,5,TRUE)*P76</f>
        <v>838.42936669799974</v>
      </c>
      <c r="Q79" s="78">
        <f>HLOOKUP(Q75,'Exh 10 Forecast Parameters'!$B$2:$H$6,5,TRUE)*Q76</f>
        <v>1060.143628427619</v>
      </c>
      <c r="R79" s="78">
        <f>HLOOKUP(R75,'Exh 10 Forecast Parameters'!$B$2:$H$6,5,TRUE)*R76</f>
        <v>1174.9129159255524</v>
      </c>
      <c r="S79" s="78">
        <f>HLOOKUP(S75,'Exh 10 Forecast Parameters'!$B$2:$H$6,5,TRUE)*S76</f>
        <v>1322.39033495836</v>
      </c>
      <c r="T79" s="78">
        <f>HLOOKUP(T75,'Exh 10 Forecast Parameters'!$B$2:$H$6,5,TRUE)*T76</f>
        <v>1375.7818447323034</v>
      </c>
      <c r="U79" s="78">
        <f>HLOOKUP(U75,'Exh 10 Forecast Parameters'!$B$2:$H$6,5,TRUE)*U76</f>
        <v>1413.0270108328962</v>
      </c>
    </row>
    <row r="80" spans="1:21" ht="12.95" customHeight="1" x14ac:dyDescent="0.25">
      <c r="A80" s="73"/>
      <c r="B80" s="73" t="s">
        <v>14</v>
      </c>
      <c r="C80" s="73"/>
      <c r="D80" s="86"/>
      <c r="E80" s="73"/>
      <c r="F80" s="82"/>
      <c r="G80" s="82"/>
      <c r="H80" s="82"/>
      <c r="I80" s="82"/>
      <c r="J80" s="82"/>
      <c r="K80" s="82"/>
      <c r="L80" s="82"/>
      <c r="M80" s="82"/>
      <c r="N80" s="82"/>
      <c r="O80" s="82">
        <f>SUM('Exh 6 Stores BS'!K76:N76)/4</f>
        <v>323.25</v>
      </c>
      <c r="P80" s="82">
        <f>SUM('Exh 6 Stores BS'!L76:O76)/4</f>
        <v>323.25</v>
      </c>
      <c r="Q80" s="82">
        <f>SUM('Exh 6 Stores BS'!M76:P76)/4</f>
        <v>323.25</v>
      </c>
      <c r="R80" s="82">
        <f>SUM('Exh 6 Stores BS'!N76:Q76)/4</f>
        <v>323.25</v>
      </c>
      <c r="S80" s="82">
        <f>SUM('Exh 6 Stores BS'!O76:R76)/4</f>
        <v>0</v>
      </c>
      <c r="T80" s="82">
        <f>SUM('Exh 6 Stores BS'!P76:S76)/4</f>
        <v>0</v>
      </c>
      <c r="U80" s="82">
        <f>SUM('Exh 6 Stores BS'!Q76:T76)/4</f>
        <v>0</v>
      </c>
    </row>
    <row r="81" spans="1:21" ht="12.95" customHeight="1" x14ac:dyDescent="0.25">
      <c r="A81" s="73"/>
      <c r="B81" s="73" t="s">
        <v>10</v>
      </c>
      <c r="C81" s="73"/>
      <c r="D81" s="73"/>
      <c r="E81" s="87"/>
      <c r="F81" s="82"/>
      <c r="G81" s="82"/>
      <c r="H81" s="82"/>
      <c r="I81" s="82"/>
      <c r="J81" s="82"/>
      <c r="K81" s="82"/>
      <c r="L81" s="82"/>
      <c r="M81" s="82"/>
      <c r="N81" s="82"/>
      <c r="O81" s="83">
        <v>1000</v>
      </c>
      <c r="P81" s="85">
        <f>O81</f>
        <v>1000</v>
      </c>
      <c r="Q81" s="85">
        <f>P81</f>
        <v>1000</v>
      </c>
      <c r="R81" s="85">
        <f>Q81</f>
        <v>1000</v>
      </c>
      <c r="S81" s="85">
        <f>R81</f>
        <v>1000</v>
      </c>
      <c r="T81" s="85">
        <f>S81</f>
        <v>1000</v>
      </c>
      <c r="U81" s="82">
        <f>ROUND(T81*(1+$D$109)^6,0)</f>
        <v>1126</v>
      </c>
    </row>
    <row r="82" spans="1:21" ht="12.95" customHeight="1" x14ac:dyDescent="0.25">
      <c r="A82" s="73"/>
      <c r="B82" s="73"/>
      <c r="C82" s="73"/>
      <c r="D82" s="73"/>
      <c r="E82" s="73"/>
      <c r="F82" s="73"/>
      <c r="G82" s="73"/>
      <c r="H82" s="73"/>
      <c r="I82" s="73"/>
      <c r="J82" s="73"/>
      <c r="K82" s="73"/>
      <c r="L82" s="73"/>
      <c r="M82" s="73"/>
      <c r="N82" s="73"/>
      <c r="O82" s="73"/>
      <c r="P82" s="73"/>
      <c r="Q82" s="73"/>
      <c r="R82" s="73"/>
      <c r="S82" s="73"/>
      <c r="T82" s="73"/>
      <c r="U82" s="73"/>
    </row>
    <row r="83" spans="1:21" ht="12.95" customHeight="1" x14ac:dyDescent="0.25">
      <c r="A83" s="89">
        <v>2013</v>
      </c>
      <c r="B83" s="79"/>
      <c r="C83" s="80">
        <v>2</v>
      </c>
      <c r="D83" s="80">
        <v>16000</v>
      </c>
      <c r="E83" s="79"/>
      <c r="F83" s="79"/>
      <c r="G83" s="79"/>
      <c r="H83" s="79"/>
      <c r="I83" s="79"/>
      <c r="J83" s="79"/>
      <c r="K83" s="79"/>
      <c r="L83" s="79"/>
      <c r="M83" s="79"/>
      <c r="N83" s="79"/>
      <c r="O83" s="79"/>
      <c r="P83" s="79">
        <v>1</v>
      </c>
      <c r="Q83" s="79">
        <v>2</v>
      </c>
      <c r="R83" s="79">
        <v>3</v>
      </c>
      <c r="S83" s="79">
        <v>4</v>
      </c>
      <c r="T83" s="79">
        <v>5</v>
      </c>
      <c r="U83" s="79">
        <v>6</v>
      </c>
    </row>
    <row r="84" spans="1:21" ht="12.95" customHeight="1" x14ac:dyDescent="0.25">
      <c r="A84" s="73"/>
      <c r="B84" s="73" t="s">
        <v>24</v>
      </c>
      <c r="C84" s="73"/>
      <c r="D84" s="73"/>
      <c r="E84" s="73"/>
      <c r="F84" s="73"/>
      <c r="G84" s="73"/>
      <c r="H84" s="73"/>
      <c r="I84" s="73"/>
      <c r="J84" s="73"/>
      <c r="K84" s="73"/>
      <c r="L84" s="73"/>
      <c r="M84" s="82"/>
      <c r="N84" s="78"/>
      <c r="O84" s="78"/>
      <c r="P84" s="83">
        <f>113.2*C83*D83/1000</f>
        <v>3622.4</v>
      </c>
      <c r="Q84" s="78">
        <f>P84*(1+HLOOKUP(Q83,'Exh 10 Forecast Parameters'!$B$2:$H$3,2,TRUE))*(1+HLOOKUP(Q$2,'Exh 4 Econ Indicators'!$B$2:$S$8,7,FALSE))</f>
        <v>6337.9538944000005</v>
      </c>
      <c r="R84" s="78">
        <f>Q84*(1+HLOOKUP(R83,'Exh 10 Forecast Parameters'!$B$2:$H$3,2,TRUE))*(1+HLOOKUP(R$2,'Exh 4 Econ Indicators'!$B$2:$S$8,7,FALSE))</f>
        <v>8689.6199971476472</v>
      </c>
      <c r="S84" s="78">
        <f>R84*(1+HLOOKUP(S83,'Exh 10 Forecast Parameters'!$B$2:$H$3,2,TRUE))*(1+HLOOKUP(S$2,'Exh 4 Econ Indicators'!$B$2:$S$8,7,FALSE))</f>
        <v>10957.211093883314</v>
      </c>
      <c r="T84" s="78">
        <f>S84*(1+HLOOKUP(T83,'Exh 10 Forecast Parameters'!$B$2:$H$3,2,TRUE))*(1+HLOOKUP(T$2,'Exh 4 Econ Indicators'!$B$2:$S$8,7,FALSE))</f>
        <v>12320.562084239744</v>
      </c>
      <c r="U84" s="78">
        <f>T84*(1+HLOOKUP(U83,'Exh 10 Forecast Parameters'!$B$2:$H$3,2,TRUE))*(1+HLOOKUP(U$2,'Exh 4 Econ Indicators'!$B$2:$S$8,7,FALSE))</f>
        <v>12805.499407875419</v>
      </c>
    </row>
    <row r="85" spans="1:21" ht="12.95" customHeight="1" x14ac:dyDescent="0.25">
      <c r="A85" s="73"/>
      <c r="B85" s="73" t="s">
        <v>1</v>
      </c>
      <c r="C85" s="73"/>
      <c r="D85" s="73"/>
      <c r="E85" s="73"/>
      <c r="F85" s="73"/>
      <c r="G85" s="73"/>
      <c r="H85" s="73"/>
      <c r="I85" s="73"/>
      <c r="J85" s="73"/>
      <c r="K85" s="73"/>
      <c r="L85" s="73"/>
      <c r="M85" s="78"/>
      <c r="N85" s="78"/>
      <c r="O85" s="78"/>
      <c r="P85" s="78">
        <f>HLOOKUP(P83,'Exh 10 Forecast Parameters'!$B$2:$H$4,3,TRUE)*P84</f>
        <v>2568.2815999999998</v>
      </c>
      <c r="Q85" s="78">
        <f>HLOOKUP(Q83,'Exh 10 Forecast Parameters'!$B$2:$H$4,3,TRUE)*Q84</f>
        <v>4037.2766307328002</v>
      </c>
      <c r="R85" s="78">
        <f>HLOOKUP(R83,'Exh 10 Forecast Parameters'!$B$2:$H$4,3,TRUE)*R84</f>
        <v>4883.5664383969779</v>
      </c>
      <c r="S85" s="78">
        <f>HLOOKUP(S83,'Exh 10 Forecast Parameters'!$B$2:$H$4,3,TRUE)*S84</f>
        <v>4371.9272264594429</v>
      </c>
      <c r="T85" s="78">
        <f>HLOOKUP(T83,'Exh 10 Forecast Parameters'!$B$2:$H$4,3,TRUE)*T84</f>
        <v>4915.9042716116583</v>
      </c>
      <c r="U85" s="78">
        <f>HLOOKUP(U83,'Exh 10 Forecast Parameters'!$B$2:$H$4,3,TRUE)*U84</f>
        <v>5109.3942637422924</v>
      </c>
    </row>
    <row r="86" spans="1:21" ht="12.95" customHeight="1" x14ac:dyDescent="0.25">
      <c r="A86" s="73"/>
      <c r="B86" s="73" t="s">
        <v>15</v>
      </c>
      <c r="C86" s="73"/>
      <c r="D86" s="73"/>
      <c r="E86" s="73"/>
      <c r="F86" s="73"/>
      <c r="G86" s="78"/>
      <c r="H86" s="78"/>
      <c r="I86" s="78"/>
      <c r="J86" s="78"/>
      <c r="K86" s="78"/>
      <c r="L86" s="78"/>
      <c r="M86" s="78"/>
      <c r="N86" s="78"/>
      <c r="O86" s="78"/>
      <c r="P86" s="78">
        <f>HLOOKUP(P83,'Exh 10 Forecast Parameters'!$B$2:$H$5,4,TRUE)*P84</f>
        <v>699.1232</v>
      </c>
      <c r="Q86" s="78">
        <f>HLOOKUP(Q83,'Exh 10 Forecast Parameters'!$B$2:$H$5,4,TRUE)*Q84</f>
        <v>1159.8455626752</v>
      </c>
      <c r="R86" s="78">
        <f>HLOOKUP(R83,'Exh 10 Forecast Parameters'!$B$2:$H$5,4,TRUE)*R84</f>
        <v>1503.3042595065428</v>
      </c>
      <c r="S86" s="78">
        <f>HLOOKUP(S83,'Exh 10 Forecast Parameters'!$B$2:$H$5,4,TRUE)*S84</f>
        <v>1490.1807087681309</v>
      </c>
      <c r="T86" s="78">
        <f>HLOOKUP(T83,'Exh 10 Forecast Parameters'!$B$2:$H$5,4,TRUE)*T84</f>
        <v>1675.5964434566054</v>
      </c>
      <c r="U86" s="78">
        <f>HLOOKUP(U83,'Exh 10 Forecast Parameters'!$B$2:$H$5,4,TRUE)*U84</f>
        <v>1741.5479194710572</v>
      </c>
    </row>
    <row r="87" spans="1:21" ht="12.95" customHeight="1" x14ac:dyDescent="0.25">
      <c r="A87" s="73"/>
      <c r="B87" s="73" t="s">
        <v>13</v>
      </c>
      <c r="C87" s="73"/>
      <c r="D87" s="73"/>
      <c r="E87" s="73"/>
      <c r="F87" s="73"/>
      <c r="G87" s="78"/>
      <c r="H87" s="78"/>
      <c r="I87" s="78"/>
      <c r="J87" s="78"/>
      <c r="K87" s="78"/>
      <c r="L87" s="78"/>
      <c r="M87" s="78"/>
      <c r="N87" s="78"/>
      <c r="O87" s="78"/>
      <c r="P87" s="78">
        <f>HLOOKUP(P83,'Exh 10 Forecast Parameters'!$B$2:$H$6,5,TRUE)*P84</f>
        <v>420.19840000000005</v>
      </c>
      <c r="Q87" s="78">
        <f>HLOOKUP(Q83,'Exh 10 Forecast Parameters'!$B$2:$H$6,5,TRUE)*Q84</f>
        <v>564.07789660160006</v>
      </c>
      <c r="R87" s="78">
        <f>HLOOKUP(R83,'Exh 10 Forecast Parameters'!$B$2:$H$6,5,TRUE)*R84</f>
        <v>712.54883976610711</v>
      </c>
      <c r="S87" s="78">
        <f>HLOOKUP(S83,'Exh 10 Forecast Parameters'!$B$2:$H$6,5,TRUE)*S84</f>
        <v>788.91919875959854</v>
      </c>
      <c r="T87" s="78">
        <f>HLOOKUP(T83,'Exh 10 Forecast Parameters'!$B$2:$H$6,5,TRUE)*T84</f>
        <v>887.08047006526147</v>
      </c>
      <c r="U87" s="78">
        <f>HLOOKUP(U83,'Exh 10 Forecast Parameters'!$B$2:$H$6,5,TRUE)*U84</f>
        <v>921.99595736703009</v>
      </c>
    </row>
    <row r="88" spans="1:21" ht="12.95" customHeight="1" x14ac:dyDescent="0.25">
      <c r="A88" s="73"/>
      <c r="B88" s="73" t="s">
        <v>14</v>
      </c>
      <c r="C88" s="73"/>
      <c r="D88" s="86"/>
      <c r="E88" s="73"/>
      <c r="F88" s="82"/>
      <c r="G88" s="82"/>
      <c r="H88" s="82"/>
      <c r="I88" s="82"/>
      <c r="J88" s="82"/>
      <c r="K88" s="82"/>
      <c r="L88" s="82"/>
      <c r="M88" s="82"/>
      <c r="N88" s="82"/>
      <c r="O88" s="82"/>
      <c r="P88" s="92">
        <f>SUM('Exh 6 Stores BS'!L84:O84)/4</f>
        <v>215.08750920245399</v>
      </c>
      <c r="Q88" s="82">
        <f>SUM('Exh 6 Stores BS'!M84:P84)/4</f>
        <v>215.08750920245399</v>
      </c>
      <c r="R88" s="82">
        <f>SUM('Exh 6 Stores BS'!N84:Q84)/4</f>
        <v>215.08750920245399</v>
      </c>
      <c r="S88" s="82">
        <f>SUM('Exh 6 Stores BS'!O84:R84)/4</f>
        <v>215.08750920245399</v>
      </c>
      <c r="T88" s="82">
        <f>SUM('Exh 6 Stores BS'!P84:S84)/4</f>
        <v>0</v>
      </c>
      <c r="U88" s="82">
        <f>SUM('Exh 6 Stores BS'!Q84:T84)/4</f>
        <v>0</v>
      </c>
    </row>
    <row r="89" spans="1:21" ht="12.95" customHeight="1" x14ac:dyDescent="0.25">
      <c r="A89" s="73"/>
      <c r="B89" s="73" t="s">
        <v>10</v>
      </c>
      <c r="C89" s="73"/>
      <c r="D89" s="73"/>
      <c r="E89" s="87"/>
      <c r="F89" s="82"/>
      <c r="G89" s="82"/>
      <c r="H89" s="82"/>
      <c r="I89" s="82"/>
      <c r="J89" s="82"/>
      <c r="K89" s="82"/>
      <c r="L89" s="82"/>
      <c r="M89" s="82"/>
      <c r="N89" s="82"/>
      <c r="O89" s="82"/>
      <c r="P89" s="93">
        <f>$D$108*$C83*$D83/1000</f>
        <v>668.16</v>
      </c>
      <c r="Q89" s="85">
        <f>P89</f>
        <v>668.16</v>
      </c>
      <c r="R89" s="85">
        <f>Q89</f>
        <v>668.16</v>
      </c>
      <c r="S89" s="85">
        <f>R89</f>
        <v>668.16</v>
      </c>
      <c r="T89" s="85">
        <f>S89</f>
        <v>668.16</v>
      </c>
      <c r="U89" s="85">
        <f>T89</f>
        <v>668.16</v>
      </c>
    </row>
    <row r="90" spans="1:21" ht="12.95" customHeight="1" x14ac:dyDescent="0.25">
      <c r="A90" s="73"/>
      <c r="B90" s="73"/>
      <c r="C90" s="73"/>
      <c r="D90" s="73"/>
      <c r="E90" s="73"/>
      <c r="F90" s="73"/>
      <c r="G90" s="73"/>
      <c r="H90" s="73"/>
      <c r="I90" s="73"/>
      <c r="J90" s="73"/>
      <c r="K90" s="73"/>
      <c r="L90" s="73"/>
      <c r="M90" s="73"/>
      <c r="N90" s="73"/>
      <c r="O90" s="73"/>
      <c r="P90" s="73"/>
      <c r="Q90" s="73"/>
      <c r="R90" s="73"/>
      <c r="S90" s="73"/>
      <c r="T90" s="73"/>
      <c r="U90" s="73"/>
    </row>
    <row r="91" spans="1:21" ht="12.95" customHeight="1" x14ac:dyDescent="0.25">
      <c r="A91" s="89">
        <v>2014</v>
      </c>
      <c r="B91" s="79"/>
      <c r="C91" s="80">
        <v>2</v>
      </c>
      <c r="D91" s="80">
        <v>16000</v>
      </c>
      <c r="E91" s="79"/>
      <c r="F91" s="79"/>
      <c r="G91" s="79"/>
      <c r="H91" s="79"/>
      <c r="I91" s="79"/>
      <c r="J91" s="79"/>
      <c r="K91" s="79"/>
      <c r="L91" s="79"/>
      <c r="M91" s="79"/>
      <c r="N91" s="79"/>
      <c r="O91" s="79"/>
      <c r="P91" s="79"/>
      <c r="Q91" s="79">
        <v>1</v>
      </c>
      <c r="R91" s="79">
        <v>2</v>
      </c>
      <c r="S91" s="79">
        <v>3</v>
      </c>
      <c r="T91" s="79">
        <v>4</v>
      </c>
      <c r="U91" s="79">
        <v>5</v>
      </c>
    </row>
    <row r="92" spans="1:21" ht="12.95" customHeight="1" x14ac:dyDescent="0.25">
      <c r="A92" s="73"/>
      <c r="B92" s="73" t="s">
        <v>24</v>
      </c>
      <c r="C92" s="73"/>
      <c r="D92" s="73"/>
      <c r="E92" s="73"/>
      <c r="F92" s="73"/>
      <c r="G92" s="73"/>
      <c r="H92" s="73"/>
      <c r="I92" s="73"/>
      <c r="J92" s="73"/>
      <c r="K92" s="73"/>
      <c r="L92" s="73"/>
      <c r="M92" s="82"/>
      <c r="N92" s="78"/>
      <c r="O92" s="78"/>
      <c r="P92" s="78"/>
      <c r="Q92" s="83">
        <f>116.6*C91*D91/1000</f>
        <v>3731.2</v>
      </c>
      <c r="R92" s="78">
        <f>Q92*(1+HLOOKUP(R91,'Exh 10 Forecast Parameters'!$B$2:$H$3,2,TRUE))*(1+HLOOKUP(R$2,'Exh 4 Econ Indicators'!$B$2:$S$8,7,FALSE))</f>
        <v>6521.9659647999988</v>
      </c>
      <c r="S92" s="78">
        <f>R92*(1+HLOOKUP(S91,'Exh 10 Forecast Parameters'!$B$2:$H$3,2,TRUE))*(1+HLOOKUP(S$2,'Exh 4 Econ Indicators'!$B$2:$S$8,7,FALSE))</f>
        <v>8933.2020016462066</v>
      </c>
      <c r="T92" s="78">
        <f>S92*(1+HLOOKUP(T91,'Exh 10 Forecast Parameters'!$B$2:$H$3,2,TRUE))*(1+HLOOKUP(T$2,'Exh 4 Econ Indicators'!$B$2:$S$8,7,FALSE))</f>
        <v>11253.377891523767</v>
      </c>
      <c r="U92" s="78">
        <f>T92*(1+HLOOKUP(U91,'Exh 10 Forecast Parameters'!$B$2:$H$3,2,TRUE))*(1+HLOOKUP(U$2,'Exh 4 Econ Indicators'!$B$2:$S$8,7,FALSE))</f>
        <v>12641.234480129611</v>
      </c>
    </row>
    <row r="93" spans="1:21" ht="12.95" customHeight="1" x14ac:dyDescent="0.25">
      <c r="A93" s="73"/>
      <c r="B93" s="73" t="s">
        <v>1</v>
      </c>
      <c r="C93" s="73"/>
      <c r="D93" s="73"/>
      <c r="E93" s="73"/>
      <c r="F93" s="73"/>
      <c r="G93" s="73"/>
      <c r="H93" s="73"/>
      <c r="I93" s="73"/>
      <c r="J93" s="73"/>
      <c r="K93" s="73"/>
      <c r="L93" s="73"/>
      <c r="M93" s="78"/>
      <c r="N93" s="78"/>
      <c r="O93" s="78"/>
      <c r="P93" s="78"/>
      <c r="Q93" s="78">
        <f>HLOOKUP(Q91,'Exh 10 Forecast Parameters'!$B$2:$H$4,3,TRUE)*Q92</f>
        <v>2645.4207999999999</v>
      </c>
      <c r="R93" s="78">
        <f>HLOOKUP(R91,'Exh 10 Forecast Parameters'!$B$2:$H$4,3,TRUE)*R92</f>
        <v>4154.4923195775991</v>
      </c>
      <c r="S93" s="78">
        <f>HLOOKUP(S91,'Exh 10 Forecast Parameters'!$B$2:$H$4,3,TRUE)*S92</f>
        <v>5020.4595249251688</v>
      </c>
      <c r="T93" s="78">
        <f>HLOOKUP(T91,'Exh 10 Forecast Parameters'!$B$2:$H$4,3,TRUE)*T92</f>
        <v>4490.0977787179836</v>
      </c>
      <c r="U93" s="78">
        <f>HLOOKUP(U91,'Exh 10 Forecast Parameters'!$B$2:$H$4,3,TRUE)*U92</f>
        <v>5043.8525575717149</v>
      </c>
    </row>
    <row r="94" spans="1:21" ht="12.95" customHeight="1" x14ac:dyDescent="0.25">
      <c r="A94" s="73"/>
      <c r="B94" s="73" t="s">
        <v>15</v>
      </c>
      <c r="C94" s="73"/>
      <c r="D94" s="73"/>
      <c r="E94" s="73"/>
      <c r="F94" s="73"/>
      <c r="G94" s="78"/>
      <c r="H94" s="78"/>
      <c r="I94" s="78"/>
      <c r="J94" s="78"/>
      <c r="K94" s="78"/>
      <c r="L94" s="78"/>
      <c r="M94" s="78"/>
      <c r="N94" s="78"/>
      <c r="O94" s="78"/>
      <c r="P94" s="78"/>
      <c r="Q94" s="78">
        <f>HLOOKUP(Q91,'Exh 10 Forecast Parameters'!$B$2:$H$5,4,TRUE)*Q92</f>
        <v>720.12159999999994</v>
      </c>
      <c r="R94" s="78">
        <f>HLOOKUP(R91,'Exh 10 Forecast Parameters'!$B$2:$H$5,4,TRUE)*R92</f>
        <v>1193.5197715583997</v>
      </c>
      <c r="S94" s="78">
        <f>HLOOKUP(S91,'Exh 10 Forecast Parameters'!$B$2:$H$5,4,TRUE)*S92</f>
        <v>1545.4439462847936</v>
      </c>
      <c r="T94" s="78">
        <f>HLOOKUP(T91,'Exh 10 Forecast Parameters'!$B$2:$H$5,4,TRUE)*T92</f>
        <v>1530.4593932472324</v>
      </c>
      <c r="U94" s="78">
        <f>HLOOKUP(U91,'Exh 10 Forecast Parameters'!$B$2:$H$5,4,TRUE)*U92</f>
        <v>1719.2078892976272</v>
      </c>
    </row>
    <row r="95" spans="1:21" ht="12.95" customHeight="1" x14ac:dyDescent="0.25">
      <c r="A95" s="73"/>
      <c r="B95" s="73" t="s">
        <v>13</v>
      </c>
      <c r="C95" s="73"/>
      <c r="D95" s="73"/>
      <c r="E95" s="73"/>
      <c r="F95" s="73"/>
      <c r="G95" s="78"/>
      <c r="H95" s="78"/>
      <c r="I95" s="78"/>
      <c r="J95" s="78"/>
      <c r="K95" s="78"/>
      <c r="L95" s="78"/>
      <c r="M95" s="78"/>
      <c r="N95" s="78"/>
      <c r="O95" s="78"/>
      <c r="P95" s="78"/>
      <c r="Q95" s="78">
        <f>HLOOKUP(Q91,'Exh 10 Forecast Parameters'!$B$2:$H$6,5,TRUE)*Q92</f>
        <v>432.81920000000002</v>
      </c>
      <c r="R95" s="78">
        <f>HLOOKUP(R91,'Exh 10 Forecast Parameters'!$B$2:$H$6,5,TRUE)*R92</f>
        <v>580.4549708671999</v>
      </c>
      <c r="S95" s="78">
        <f>HLOOKUP(S91,'Exh 10 Forecast Parameters'!$B$2:$H$6,5,TRUE)*S92</f>
        <v>732.52256413498901</v>
      </c>
      <c r="T95" s="78">
        <f>HLOOKUP(T91,'Exh 10 Forecast Parameters'!$B$2:$H$6,5,TRUE)*T92</f>
        <v>810.24320818971114</v>
      </c>
      <c r="U95" s="78">
        <f>HLOOKUP(U91,'Exh 10 Forecast Parameters'!$B$2:$H$6,5,TRUE)*U92</f>
        <v>910.16888256933191</v>
      </c>
    </row>
    <row r="96" spans="1:21" ht="12.95" customHeight="1" x14ac:dyDescent="0.25">
      <c r="A96" s="73"/>
      <c r="B96" s="73" t="s">
        <v>14</v>
      </c>
      <c r="C96" s="73"/>
      <c r="D96" s="86"/>
      <c r="E96" s="73"/>
      <c r="F96" s="82"/>
      <c r="G96" s="82"/>
      <c r="H96" s="82"/>
      <c r="I96" s="82"/>
      <c r="J96" s="82"/>
      <c r="K96" s="82"/>
      <c r="L96" s="82"/>
      <c r="M96" s="82"/>
      <c r="N96" s="82"/>
      <c r="O96" s="82"/>
      <c r="P96" s="82"/>
      <c r="Q96" s="82">
        <f>SUM('Exh 6 Stores BS'!M93:P93)/4</f>
        <v>218.98059311901841</v>
      </c>
      <c r="R96" s="82">
        <f>SUM('Exh 6 Stores BS'!N93:Q93)/4</f>
        <v>218.98059311901841</v>
      </c>
      <c r="S96" s="82">
        <f>SUM('Exh 6 Stores BS'!O93:R93)/4</f>
        <v>218.98059311901841</v>
      </c>
      <c r="T96" s="82">
        <f>SUM('Exh 6 Stores BS'!P93:S93)/4</f>
        <v>218.98059311901841</v>
      </c>
      <c r="U96" s="82">
        <f>SUM('Exh 6 Stores BS'!Q93:T93)/4</f>
        <v>0</v>
      </c>
    </row>
    <row r="97" spans="1:22" ht="12.95" customHeight="1" x14ac:dyDescent="0.25">
      <c r="A97" s="73"/>
      <c r="B97" s="73" t="s">
        <v>10</v>
      </c>
      <c r="C97" s="73"/>
      <c r="D97" s="73"/>
      <c r="E97" s="87"/>
      <c r="F97" s="82"/>
      <c r="G97" s="82"/>
      <c r="H97" s="82"/>
      <c r="I97" s="82"/>
      <c r="J97" s="82"/>
      <c r="K97" s="82"/>
      <c r="L97" s="82"/>
      <c r="M97" s="82"/>
      <c r="N97" s="82"/>
      <c r="O97" s="82"/>
      <c r="P97" s="82"/>
      <c r="Q97" s="83">
        <f>$D$108*(1+$D$109)^($A91-$A$83)*$C91*$D91/1000</f>
        <v>681.52319999999997</v>
      </c>
      <c r="R97" s="85">
        <f>Q97</f>
        <v>681.52319999999997</v>
      </c>
      <c r="S97" s="85">
        <f>R97</f>
        <v>681.52319999999997</v>
      </c>
      <c r="T97" s="85">
        <f>S97</f>
        <v>681.52319999999997</v>
      </c>
      <c r="U97" s="85">
        <f>T97</f>
        <v>681.52319999999997</v>
      </c>
      <c r="V97" s="11"/>
    </row>
    <row r="98" spans="1:22" ht="12.95" customHeight="1" x14ac:dyDescent="0.25">
      <c r="A98" s="73"/>
      <c r="B98" s="73"/>
      <c r="C98" s="73"/>
      <c r="D98" s="73"/>
      <c r="E98" s="73"/>
      <c r="F98" s="73"/>
      <c r="G98" s="73"/>
      <c r="H98" s="73"/>
      <c r="I98" s="73"/>
      <c r="J98" s="73"/>
      <c r="K98" s="73"/>
      <c r="L98" s="73"/>
      <c r="M98" s="73"/>
      <c r="N98" s="73"/>
      <c r="O98" s="73"/>
      <c r="P98" s="73"/>
      <c r="Q98" s="73"/>
      <c r="R98" s="73"/>
      <c r="S98" s="73"/>
      <c r="T98" s="73"/>
      <c r="U98" s="73"/>
      <c r="V98" s="11"/>
    </row>
    <row r="99" spans="1:22" ht="12.95" customHeight="1" x14ac:dyDescent="0.25">
      <c r="A99" s="89">
        <v>2015</v>
      </c>
      <c r="B99" s="79"/>
      <c r="C99" s="80">
        <v>2</v>
      </c>
      <c r="D99" s="80">
        <v>15000</v>
      </c>
      <c r="E99" s="79"/>
      <c r="F99" s="79"/>
      <c r="G99" s="79"/>
      <c r="H99" s="79"/>
      <c r="I99" s="79"/>
      <c r="J99" s="79"/>
      <c r="K99" s="79"/>
      <c r="L99" s="79"/>
      <c r="M99" s="79"/>
      <c r="N99" s="79"/>
      <c r="O99" s="79"/>
      <c r="P99" s="79"/>
      <c r="Q99" s="79"/>
      <c r="R99" s="79">
        <v>1</v>
      </c>
      <c r="S99" s="79">
        <v>2</v>
      </c>
      <c r="T99" s="79">
        <v>3</v>
      </c>
      <c r="U99" s="79">
        <v>4</v>
      </c>
      <c r="V99" s="11"/>
    </row>
    <row r="100" spans="1:22" ht="12.95" customHeight="1" x14ac:dyDescent="0.25">
      <c r="A100" s="73"/>
      <c r="B100" s="73" t="s">
        <v>24</v>
      </c>
      <c r="C100" s="73"/>
      <c r="D100" s="73"/>
      <c r="E100" s="73"/>
      <c r="F100" s="73"/>
      <c r="G100" s="73"/>
      <c r="H100" s="73"/>
      <c r="I100" s="73"/>
      <c r="J100" s="73"/>
      <c r="K100" s="73"/>
      <c r="L100" s="73"/>
      <c r="M100" s="82"/>
      <c r="N100" s="78"/>
      <c r="O100" s="78"/>
      <c r="P100" s="78"/>
      <c r="Q100" s="78"/>
      <c r="R100" s="83">
        <f>119.9*C99*D99/1000</f>
        <v>3597</v>
      </c>
      <c r="S100" s="78">
        <f>R100*(1+HLOOKUP(S99,'Exh 10 Forecast Parameters'!$B$2:$H$3,2,TRUE))*(1+HLOOKUP(S$2,'Exh 4 Econ Indicators'!$B$2:$S$8,7,FALSE))</f>
        <v>6281.2684440000003</v>
      </c>
      <c r="T100" s="78">
        <f>S100*(1+HLOOKUP(T99,'Exh 10 Forecast Parameters'!$B$2:$H$3,2,TRUE))*(1+HLOOKUP(T$2,'Exh 4 Econ Indicators'!$B$2:$S$8,7,FALSE))</f>
        <v>8595.130707058499</v>
      </c>
      <c r="U100" s="78">
        <f>T100*(1+HLOOKUP(U99,'Exh 10 Forecast Parameters'!$B$2:$H$3,2,TRUE))*(1+HLOOKUP(U$2,'Exh 4 Econ Indicators'!$B$2:$S$8,7,FALSE))</f>
        <v>10816.937614310295</v>
      </c>
    </row>
    <row r="101" spans="1:22" ht="12.95" customHeight="1" x14ac:dyDescent="0.25">
      <c r="A101" s="73"/>
      <c r="B101" s="73" t="s">
        <v>1</v>
      </c>
      <c r="C101" s="73"/>
      <c r="D101" s="73"/>
      <c r="E101" s="73"/>
      <c r="F101" s="73"/>
      <c r="G101" s="73"/>
      <c r="H101" s="73"/>
      <c r="I101" s="73"/>
      <c r="J101" s="73"/>
      <c r="K101" s="73"/>
      <c r="L101" s="73"/>
      <c r="M101" s="78"/>
      <c r="N101" s="78"/>
      <c r="O101" s="78"/>
      <c r="P101" s="78"/>
      <c r="Q101" s="78"/>
      <c r="R101" s="78">
        <f>HLOOKUP(R99,'Exh 10 Forecast Parameters'!$B$2:$H$4,3,TRUE)*R100</f>
        <v>2550.2729999999997</v>
      </c>
      <c r="S101" s="78">
        <f>HLOOKUP(S99,'Exh 10 Forecast Parameters'!$B$2:$H$4,3,TRUE)*S100</f>
        <v>4001.1679988280002</v>
      </c>
      <c r="T101" s="78">
        <f>HLOOKUP(T99,'Exh 10 Forecast Parameters'!$B$2:$H$4,3,TRUE)*T100</f>
        <v>4830.4634573668773</v>
      </c>
      <c r="U101" s="78">
        <f>HLOOKUP(U99,'Exh 10 Forecast Parameters'!$B$2:$H$4,3,TRUE)*U100</f>
        <v>4315.9581081098077</v>
      </c>
    </row>
    <row r="102" spans="1:22" ht="12.95" customHeight="1" x14ac:dyDescent="0.25">
      <c r="A102" s="73"/>
      <c r="B102" s="73" t="s">
        <v>15</v>
      </c>
      <c r="C102" s="73"/>
      <c r="D102" s="73"/>
      <c r="E102" s="73"/>
      <c r="F102" s="73"/>
      <c r="G102" s="78"/>
      <c r="H102" s="78"/>
      <c r="I102" s="78"/>
      <c r="J102" s="78"/>
      <c r="K102" s="78"/>
      <c r="L102" s="78"/>
      <c r="M102" s="78"/>
      <c r="N102" s="78"/>
      <c r="O102" s="78"/>
      <c r="P102" s="78"/>
      <c r="Q102" s="78"/>
      <c r="R102" s="78">
        <f>HLOOKUP(R99,'Exh 10 Forecast Parameters'!$B$2:$H$5,4,TRUE)*R100</f>
        <v>694.221</v>
      </c>
      <c r="S102" s="78">
        <f>HLOOKUP(S99,'Exh 10 Forecast Parameters'!$B$2:$H$5,4,TRUE)*S100</f>
        <v>1149.4721252520001</v>
      </c>
      <c r="T102" s="78">
        <f>HLOOKUP(T99,'Exh 10 Forecast Parameters'!$B$2:$H$5,4,TRUE)*T100</f>
        <v>1486.9576123211202</v>
      </c>
      <c r="U102" s="78">
        <f>HLOOKUP(U99,'Exh 10 Forecast Parameters'!$B$2:$H$5,4,TRUE)*U100</f>
        <v>1471.1035155462002</v>
      </c>
    </row>
    <row r="103" spans="1:22" ht="12.95" customHeight="1" x14ac:dyDescent="0.25">
      <c r="A103" s="73"/>
      <c r="B103" s="73" t="s">
        <v>13</v>
      </c>
      <c r="C103" s="73"/>
      <c r="D103" s="73"/>
      <c r="E103" s="73"/>
      <c r="F103" s="73"/>
      <c r="G103" s="78"/>
      <c r="H103" s="78"/>
      <c r="I103" s="78"/>
      <c r="J103" s="78"/>
      <c r="K103" s="78"/>
      <c r="L103" s="78"/>
      <c r="M103" s="78"/>
      <c r="N103" s="78"/>
      <c r="O103" s="78"/>
      <c r="P103" s="78"/>
      <c r="Q103" s="78"/>
      <c r="R103" s="78">
        <f>HLOOKUP(R99,'Exh 10 Forecast Parameters'!$B$2:$H$6,5,TRUE)*R100</f>
        <v>417.25200000000001</v>
      </c>
      <c r="S103" s="78">
        <f>HLOOKUP(S99,'Exh 10 Forecast Parameters'!$B$2:$H$6,5,TRUE)*S100</f>
        <v>559.03289151599995</v>
      </c>
      <c r="T103" s="78">
        <f>HLOOKUP(T99,'Exh 10 Forecast Parameters'!$B$2:$H$6,5,TRUE)*T100</f>
        <v>704.80071797879691</v>
      </c>
      <c r="U103" s="78">
        <f>HLOOKUP(U99,'Exh 10 Forecast Parameters'!$B$2:$H$6,5,TRUE)*U100</f>
        <v>778.81950823034117</v>
      </c>
    </row>
    <row r="104" spans="1:22" ht="12.95" customHeight="1" x14ac:dyDescent="0.25">
      <c r="A104" s="73"/>
      <c r="B104" s="73" t="s">
        <v>14</v>
      </c>
      <c r="C104" s="73"/>
      <c r="D104" s="86"/>
      <c r="E104" s="73"/>
      <c r="F104" s="82"/>
      <c r="G104" s="82"/>
      <c r="H104" s="82"/>
      <c r="I104" s="82"/>
      <c r="J104" s="82"/>
      <c r="K104" s="82"/>
      <c r="L104" s="82"/>
      <c r="M104" s="82"/>
      <c r="N104" s="82"/>
      <c r="O104" s="82"/>
      <c r="P104" s="82"/>
      <c r="Q104" s="82"/>
      <c r="R104" s="82">
        <f>SUM('Exh 6 Stores BS'!N102:Q102)/4</f>
        <v>209.2770155864319</v>
      </c>
      <c r="S104" s="82">
        <f>SUM('Exh 6 Stores BS'!O102:R102)/4</f>
        <v>209.2770155864319</v>
      </c>
      <c r="T104" s="82">
        <f>SUM('Exh 6 Stores BS'!P102:S102)/4</f>
        <v>209.2770155864319</v>
      </c>
      <c r="U104" s="82">
        <f>SUM('Exh 6 Stores BS'!Q102:T102)/4</f>
        <v>209.2770155864319</v>
      </c>
    </row>
    <row r="105" spans="1:22" ht="12.95" customHeight="1" x14ac:dyDescent="0.25">
      <c r="A105" s="73"/>
      <c r="B105" s="73" t="s">
        <v>10</v>
      </c>
      <c r="C105" s="73"/>
      <c r="D105" s="73"/>
      <c r="E105" s="87"/>
      <c r="F105" s="82"/>
      <c r="G105" s="82"/>
      <c r="H105" s="82"/>
      <c r="I105" s="82"/>
      <c r="J105" s="82"/>
      <c r="K105" s="82"/>
      <c r="L105" s="82"/>
      <c r="M105" s="82"/>
      <c r="N105" s="82"/>
      <c r="O105" s="82"/>
      <c r="P105" s="82"/>
      <c r="Q105" s="82"/>
      <c r="R105" s="83">
        <f>$D$108*(1+$D$109)^($A99-$A$83)*$C99*$D99/1000</f>
        <v>651.70655999999997</v>
      </c>
      <c r="S105" s="85">
        <f>R105</f>
        <v>651.70655999999997</v>
      </c>
      <c r="T105" s="85">
        <f>S105</f>
        <v>651.70655999999997</v>
      </c>
      <c r="U105" s="85">
        <f>T105</f>
        <v>651.70655999999997</v>
      </c>
    </row>
    <row r="106" spans="1:22" ht="15" customHeight="1" x14ac:dyDescent="0.25"/>
    <row r="107" spans="1:22" ht="15" customHeight="1" x14ac:dyDescent="0.25">
      <c r="A107" s="32" t="s">
        <v>6</v>
      </c>
      <c r="B107" s="22"/>
      <c r="C107" s="22"/>
      <c r="D107" s="22"/>
    </row>
    <row r="108" spans="1:22" ht="15" customHeight="1" x14ac:dyDescent="0.25">
      <c r="A108" s="22"/>
      <c r="B108" s="22" t="s">
        <v>75</v>
      </c>
      <c r="D108" s="48">
        <v>20.88</v>
      </c>
    </row>
    <row r="109" spans="1:22" x14ac:dyDescent="0.25">
      <c r="A109" s="22"/>
      <c r="B109" s="22" t="s">
        <v>54</v>
      </c>
      <c r="C109" s="22"/>
      <c r="D109" s="66">
        <v>0.02</v>
      </c>
    </row>
    <row r="110" spans="1:22" x14ac:dyDescent="0.25">
      <c r="D110" s="8"/>
    </row>
    <row r="111" spans="1:22" x14ac:dyDescent="0.25">
      <c r="D111" s="8"/>
    </row>
    <row r="112" spans="1:22" x14ac:dyDescent="0.25">
      <c r="D112" s="8"/>
      <c r="E112" s="8"/>
    </row>
  </sheetData>
  <pageMargins left="0.7" right="0.7" top="0.75" bottom="0.75" header="0.3" footer="0.3"/>
  <pageSetup scale="25"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108"/>
  <sheetViews>
    <sheetView zoomScaleNormal="100" workbookViewId="0">
      <pane xSplit="4" ySplit="2" topLeftCell="E3" activePane="bottomRight" state="frozen"/>
      <selection activeCell="A9" sqref="A9"/>
      <selection pane="topRight" activeCell="A9" sqref="A9"/>
      <selection pane="bottomLeft" activeCell="A9" sqref="A9"/>
      <selection pane="bottomRight"/>
    </sheetView>
  </sheetViews>
  <sheetFormatPr defaultColWidth="8.85546875" defaultRowHeight="15" x14ac:dyDescent="0.25"/>
  <cols>
    <col min="1" max="1" width="4.42578125" customWidth="1"/>
    <col min="2" max="2" width="12.42578125" customWidth="1"/>
    <col min="3" max="7" width="5.7109375" customWidth="1"/>
    <col min="8" max="11" width="5.7109375" bestFit="1" customWidth="1"/>
    <col min="12" max="20" width="6" customWidth="1"/>
    <col min="22" max="22" width="10" bestFit="1" customWidth="1"/>
  </cols>
  <sheetData>
    <row r="1" spans="1:20" ht="18.75" customHeight="1" x14ac:dyDescent="0.3">
      <c r="A1" s="12" t="s">
        <v>70</v>
      </c>
    </row>
    <row r="2" spans="1:20" ht="14.1" customHeight="1" x14ac:dyDescent="0.25">
      <c r="A2" s="73"/>
      <c r="B2" s="73"/>
      <c r="C2" s="73" t="s">
        <v>23</v>
      </c>
      <c r="D2" s="73" t="s">
        <v>22</v>
      </c>
      <c r="E2" s="74">
        <v>2003</v>
      </c>
      <c r="F2" s="74">
        <v>2004</v>
      </c>
      <c r="G2" s="74">
        <v>2005</v>
      </c>
      <c r="H2" s="74">
        <v>2006</v>
      </c>
      <c r="I2" s="74">
        <v>2007</v>
      </c>
      <c r="J2" s="74">
        <v>2008</v>
      </c>
      <c r="K2" s="74">
        <v>2009</v>
      </c>
      <c r="L2" s="74">
        <v>2010</v>
      </c>
      <c r="M2" s="74">
        <v>2011</v>
      </c>
      <c r="N2" s="74">
        <v>2012</v>
      </c>
      <c r="O2" s="75">
        <v>2013</v>
      </c>
      <c r="P2" s="75">
        <v>2014</v>
      </c>
      <c r="Q2" s="75">
        <v>2015</v>
      </c>
      <c r="R2" s="75">
        <v>2016</v>
      </c>
      <c r="S2" s="75">
        <v>2017</v>
      </c>
      <c r="T2" s="75">
        <v>2018</v>
      </c>
    </row>
    <row r="3" spans="1:20" s="14" customFormat="1" ht="14.1" customHeight="1" x14ac:dyDescent="0.2">
      <c r="A3" s="79">
        <v>2003</v>
      </c>
      <c r="B3" s="79"/>
      <c r="C3" s="80">
        <f>'Exh 5 Stores IS'!C3</f>
        <v>1</v>
      </c>
      <c r="D3" s="81">
        <f>'Exh 5 Stores IS'!D3</f>
        <v>17200</v>
      </c>
      <c r="E3" s="84">
        <v>0</v>
      </c>
      <c r="F3" s="84">
        <v>1</v>
      </c>
      <c r="G3" s="84">
        <v>2</v>
      </c>
      <c r="H3" s="84">
        <v>3</v>
      </c>
      <c r="I3" s="84">
        <v>4</v>
      </c>
      <c r="J3" s="84">
        <v>5</v>
      </c>
      <c r="K3" s="84">
        <v>6</v>
      </c>
      <c r="L3" s="84">
        <v>7</v>
      </c>
      <c r="M3" s="84">
        <v>8</v>
      </c>
      <c r="N3" s="84">
        <v>9</v>
      </c>
      <c r="O3" s="84">
        <v>10</v>
      </c>
      <c r="P3" s="84">
        <v>11</v>
      </c>
      <c r="Q3" s="84">
        <v>12</v>
      </c>
      <c r="R3" s="84">
        <v>13</v>
      </c>
      <c r="S3" s="84">
        <v>14</v>
      </c>
      <c r="T3" s="84">
        <v>15</v>
      </c>
    </row>
    <row r="4" spans="1:20" s="14" customFormat="1" ht="14.1" customHeight="1" x14ac:dyDescent="0.2">
      <c r="A4" s="73"/>
      <c r="B4" s="73" t="s">
        <v>48</v>
      </c>
      <c r="C4" s="73"/>
      <c r="D4" s="73"/>
      <c r="E4" s="83">
        <v>358</v>
      </c>
      <c r="F4" s="82"/>
      <c r="G4" s="78"/>
      <c r="H4" s="78"/>
      <c r="I4" s="78"/>
      <c r="J4" s="78"/>
      <c r="K4" s="78"/>
      <c r="L4" s="82"/>
      <c r="M4" s="83">
        <v>324.39999999999998</v>
      </c>
      <c r="N4" s="78"/>
      <c r="O4" s="78"/>
      <c r="P4" s="78"/>
      <c r="Q4" s="78"/>
      <c r="R4" s="78"/>
      <c r="S4" s="82"/>
      <c r="T4" s="78"/>
    </row>
    <row r="5" spans="1:20" s="14" customFormat="1" ht="14.1" customHeight="1" x14ac:dyDescent="0.2">
      <c r="A5" s="73"/>
      <c r="B5" s="73" t="s">
        <v>49</v>
      </c>
      <c r="C5" s="73"/>
      <c r="D5" s="73"/>
      <c r="E5" s="77"/>
      <c r="F5" s="83">
        <v>751</v>
      </c>
      <c r="G5" s="83">
        <v>1187.1047587783319</v>
      </c>
      <c r="H5" s="83">
        <v>1664.9935612383174</v>
      </c>
      <c r="I5" s="83">
        <v>1975.142031823121</v>
      </c>
      <c r="J5" s="83">
        <v>2039.7896605318658</v>
      </c>
      <c r="K5" s="83">
        <v>1700.4303482668206</v>
      </c>
      <c r="L5" s="83">
        <v>1745.4208636520214</v>
      </c>
      <c r="M5" s="83">
        <v>1742</v>
      </c>
      <c r="N5" s="83">
        <v>1902.2379431698173</v>
      </c>
      <c r="O5" s="82">
        <f>'Exh 10 Forecast Parameters'!$B$7*'Exh 5 Stores IS'!O4</f>
        <v>2019.7074794399998</v>
      </c>
      <c r="P5" s="82">
        <f>'Exh 10 Forecast Parameters'!$B$7*'Exh 5 Stores IS'!P4</f>
        <v>2084.5138333327905</v>
      </c>
      <c r="Q5" s="82">
        <f>'Exh 10 Forecast Parameters'!$B$7*'Exh 5 Stores IS'!Q4</f>
        <v>2149.308861328107</v>
      </c>
      <c r="R5" s="82">
        <f>'Exh 10 Forecast Parameters'!$B$7*'Exh 5 Stores IS'!R4</f>
        <v>2213.9622211857172</v>
      </c>
      <c r="S5" s="82">
        <f>'Exh 10 Forecast Parameters'!$B$7*'Exh 5 Stores IS'!S4</f>
        <v>2278.339814653355</v>
      </c>
      <c r="T5" s="82">
        <f>'Exh 10 Forecast Parameters'!$B$7*'Exh 5 Stores IS'!T4</f>
        <v>2342.3042049497476</v>
      </c>
    </row>
    <row r="6" spans="1:20" s="14" customFormat="1" ht="14.1" customHeight="1" x14ac:dyDescent="0.2">
      <c r="A6" s="73"/>
      <c r="B6" s="73" t="s">
        <v>11</v>
      </c>
      <c r="C6" s="73"/>
      <c r="D6" s="73"/>
      <c r="E6" s="83">
        <v>670.84166067841807</v>
      </c>
      <c r="F6" s="83">
        <v>1090.1977483733046</v>
      </c>
      <c r="G6" s="83">
        <v>1329.5306881261283</v>
      </c>
      <c r="H6" s="83">
        <v>1206.084858554972</v>
      </c>
      <c r="I6" s="83">
        <v>1166.5501364310039</v>
      </c>
      <c r="J6" s="83">
        <v>979.73611660045424</v>
      </c>
      <c r="K6" s="83">
        <v>972.37387394279938</v>
      </c>
      <c r="L6" s="83">
        <v>1082.0055803263556</v>
      </c>
      <c r="M6" s="83">
        <v>1027.1241589297817</v>
      </c>
      <c r="N6" s="83">
        <v>1089.7061312235546</v>
      </c>
      <c r="O6" s="82">
        <f>'Exh 10 Forecast Parameters'!$B$8*'Exh 5 Stores IS'!P5</f>
        <v>1221.9111274132622</v>
      </c>
      <c r="P6" s="82">
        <f>'Exh 10 Forecast Parameters'!$B$8*'Exh 5 Stores IS'!Q5</f>
        <v>1259.8930128977756</v>
      </c>
      <c r="Q6" s="82">
        <f>'Exh 10 Forecast Parameters'!$B$8*'Exh 5 Stores IS'!R5</f>
        <v>1297.7918546187534</v>
      </c>
      <c r="R6" s="82">
        <f>'Exh 10 Forecast Parameters'!$B$8*'Exh 5 Stores IS'!S5</f>
        <v>1335.5290461673574</v>
      </c>
      <c r="S6" s="82">
        <f>'Exh 10 Forecast Parameters'!$B$8*'Exh 5 Stores IS'!T5</f>
        <v>1373.0240241385056</v>
      </c>
      <c r="T6" s="82">
        <f>'Exh 10 Forecast Parameters'!$B$8*'Exh 5 Stores IS'!U5</f>
        <v>1410.1945305199831</v>
      </c>
    </row>
    <row r="7" spans="1:20" s="14" customFormat="1" ht="14.1" customHeight="1" x14ac:dyDescent="0.2">
      <c r="A7" s="73"/>
      <c r="B7" s="73" t="s">
        <v>50</v>
      </c>
      <c r="C7" s="73"/>
      <c r="D7" s="73"/>
      <c r="E7" s="83">
        <v>235.95540336291995</v>
      </c>
      <c r="F7" s="83">
        <v>396.22202120352028</v>
      </c>
      <c r="G7" s="83">
        <v>447.99406968514057</v>
      </c>
      <c r="H7" s="83">
        <v>405.02760658593343</v>
      </c>
      <c r="I7" s="83">
        <v>403.28341807289513</v>
      </c>
      <c r="J7" s="83">
        <v>350.45393386233673</v>
      </c>
      <c r="K7" s="83">
        <v>345.1970906140038</v>
      </c>
      <c r="L7" s="83">
        <v>370.26689518448478</v>
      </c>
      <c r="M7" s="83">
        <v>369.33675425997797</v>
      </c>
      <c r="N7" s="83">
        <v>390.0174652388734</v>
      </c>
      <c r="O7" s="82">
        <f>'Exh 10 Forecast Parameters'!$B$9*'Exh 5 Stores IS'!P5</f>
        <v>418.42754993353304</v>
      </c>
      <c r="P7" s="82">
        <f>'Exh 10 Forecast Parameters'!$B$9*'Exh 5 Stores IS'!Q5</f>
        <v>431.43395189566689</v>
      </c>
      <c r="Q7" s="82">
        <f>'Exh 10 Forecast Parameters'!$B$9*'Exh 5 Stores IS'!R5</f>
        <v>444.41191660264036</v>
      </c>
      <c r="R7" s="82">
        <f>'Exh 10 Forecast Parameters'!$B$9*'Exh 5 Stores IS'!S5</f>
        <v>457.33452631361189</v>
      </c>
      <c r="S7" s="82">
        <f>'Exh 10 Forecast Parameters'!$B$9*'Exh 5 Stores IS'!T5</f>
        <v>470.17419313986647</v>
      </c>
      <c r="T7" s="82">
        <f>'Exh 10 Forecast Parameters'!$B$9*'Exh 5 Stores IS'!U5</f>
        <v>482.90274889654887</v>
      </c>
    </row>
    <row r="8" spans="1:20" s="14" customFormat="1" ht="13.5" customHeight="1" x14ac:dyDescent="0.2">
      <c r="A8" s="73"/>
      <c r="B8" s="73" t="s">
        <v>51</v>
      </c>
      <c r="C8" s="73"/>
      <c r="D8" s="73"/>
      <c r="E8" s="83">
        <v>28.963003922544758</v>
      </c>
      <c r="F8" s="83">
        <v>49.330302300615742</v>
      </c>
      <c r="G8" s="83">
        <v>61.505886010023694</v>
      </c>
      <c r="H8" s="83">
        <v>60.599410650664908</v>
      </c>
      <c r="I8" s="83">
        <v>60.835566961104753</v>
      </c>
      <c r="J8" s="83">
        <v>52.866591210157402</v>
      </c>
      <c r="K8" s="83">
        <v>53.645457862218592</v>
      </c>
      <c r="L8" s="83">
        <v>56.576389781778076</v>
      </c>
      <c r="M8" s="83">
        <v>58.370622539216683</v>
      </c>
      <c r="N8" s="83">
        <v>57.838559574163426</v>
      </c>
      <c r="O8" s="82">
        <f>'Exh 10 Forecast Parameters'!$B$10*('Exh 5 Stores IS'!P6+'Exh 5 Stores IS'!P7)</f>
        <v>64.233907753069687</v>
      </c>
      <c r="P8" s="82">
        <f>'Exh 10 Forecast Parameters'!$B$10*('Exh 5 Stores IS'!Q6+'Exh 5 Stores IS'!Q7)</f>
        <v>66.230554541666109</v>
      </c>
      <c r="Q8" s="82">
        <f>'Exh 10 Forecast Parameters'!$B$10*('Exh 5 Stores IS'!R6+'Exh 5 Stores IS'!R7)</f>
        <v>68.222835852833953</v>
      </c>
      <c r="R8" s="82">
        <f>'Exh 10 Forecast Parameters'!$B$10*('Exh 5 Stores IS'!S6+'Exh 5 Stores IS'!S7)</f>
        <v>70.206619473762643</v>
      </c>
      <c r="S8" s="82">
        <f>'Exh 10 Forecast Parameters'!$B$10*('Exh 5 Stores IS'!T6+'Exh 5 Stores IS'!T7)</f>
        <v>72.177670315488513</v>
      </c>
      <c r="T8" s="82">
        <f>'Exh 10 Forecast Parameters'!$B$10*('Exh 5 Stores IS'!U6+'Exh 5 Stores IS'!U7)</f>
        <v>74.13166420626942</v>
      </c>
    </row>
    <row r="9" spans="1:20" ht="14.1" hidden="1" customHeight="1" x14ac:dyDescent="0.25">
      <c r="A9" s="73"/>
      <c r="B9" s="73"/>
      <c r="C9" s="73"/>
      <c r="D9" s="73"/>
      <c r="E9" s="78"/>
      <c r="F9" s="82"/>
      <c r="G9" s="82"/>
      <c r="H9" s="82"/>
      <c r="I9" s="82"/>
      <c r="J9" s="82"/>
      <c r="K9" s="82"/>
      <c r="L9" s="82"/>
      <c r="M9" s="82"/>
      <c r="N9" s="82"/>
      <c r="O9" s="82"/>
      <c r="P9" s="82"/>
      <c r="Q9" s="82"/>
      <c r="R9" s="82"/>
      <c r="S9" s="82"/>
      <c r="T9" s="82"/>
    </row>
    <row r="10" spans="1:20" ht="14.1" hidden="1" customHeight="1" x14ac:dyDescent="0.25">
      <c r="A10" s="76"/>
      <c r="B10" s="73"/>
      <c r="C10" s="73"/>
      <c r="D10" s="73"/>
      <c r="E10" s="78"/>
      <c r="F10" s="78"/>
      <c r="G10" s="78"/>
      <c r="H10" s="78"/>
      <c r="I10" s="78"/>
      <c r="J10" s="78"/>
      <c r="K10" s="78"/>
      <c r="L10" s="78"/>
      <c r="M10" s="78"/>
      <c r="N10" s="78"/>
      <c r="O10" s="78"/>
      <c r="P10" s="78"/>
      <c r="Q10" s="78"/>
      <c r="R10" s="78"/>
      <c r="S10" s="78"/>
      <c r="T10" s="78"/>
    </row>
    <row r="11" spans="1:20" ht="14.1" customHeight="1" x14ac:dyDescent="0.25">
      <c r="A11" s="79">
        <v>2004</v>
      </c>
      <c r="B11" s="79"/>
      <c r="C11" s="80">
        <f>'Exh 5 Stores IS'!C11</f>
        <v>3</v>
      </c>
      <c r="D11" s="81">
        <f>'Exh 5 Stores IS'!D11</f>
        <v>17600</v>
      </c>
      <c r="E11" s="84"/>
      <c r="F11" s="84">
        <v>0</v>
      </c>
      <c r="G11" s="84">
        <v>1</v>
      </c>
      <c r="H11" s="84">
        <v>2</v>
      </c>
      <c r="I11" s="84">
        <v>3</v>
      </c>
      <c r="J11" s="84">
        <v>4</v>
      </c>
      <c r="K11" s="84">
        <v>5</v>
      </c>
      <c r="L11" s="84">
        <v>6</v>
      </c>
      <c r="M11" s="84">
        <v>7</v>
      </c>
      <c r="N11" s="84">
        <v>8</v>
      </c>
      <c r="O11" s="84">
        <v>9</v>
      </c>
      <c r="P11" s="84">
        <v>10</v>
      </c>
      <c r="Q11" s="84">
        <v>11</v>
      </c>
      <c r="R11" s="84">
        <v>12</v>
      </c>
      <c r="S11" s="84">
        <v>13</v>
      </c>
      <c r="T11" s="84">
        <v>14</v>
      </c>
    </row>
    <row r="12" spans="1:20" ht="14.1" customHeight="1" x14ac:dyDescent="0.25">
      <c r="A12" s="73"/>
      <c r="B12" s="73" t="s">
        <v>48</v>
      </c>
      <c r="C12" s="73"/>
      <c r="D12" s="73"/>
      <c r="E12" s="78"/>
      <c r="F12" s="83">
        <v>1175</v>
      </c>
      <c r="G12" s="82"/>
      <c r="H12" s="78"/>
      <c r="I12" s="78"/>
      <c r="J12" s="78"/>
      <c r="K12" s="78"/>
      <c r="L12" s="78"/>
      <c r="M12" s="82"/>
      <c r="N12" s="83">
        <v>935.6</v>
      </c>
      <c r="O12" s="78"/>
      <c r="P12" s="78"/>
      <c r="Q12" s="78"/>
      <c r="R12" s="78"/>
      <c r="S12" s="78"/>
      <c r="T12" s="78"/>
    </row>
    <row r="13" spans="1:20" ht="14.1" customHeight="1" x14ac:dyDescent="0.25">
      <c r="A13" s="73"/>
      <c r="B13" s="73" t="s">
        <v>49</v>
      </c>
      <c r="C13" s="73"/>
      <c r="D13" s="73"/>
      <c r="E13" s="78"/>
      <c r="F13" s="77"/>
      <c r="G13" s="83">
        <v>2291.5818999246544</v>
      </c>
      <c r="H13" s="83">
        <v>3869.6821434417884</v>
      </c>
      <c r="I13" s="83">
        <v>5029.0119303043884</v>
      </c>
      <c r="J13" s="83">
        <v>5525.7803700647646</v>
      </c>
      <c r="K13" s="83">
        <v>5276.4520207369605</v>
      </c>
      <c r="L13" s="83">
        <v>5598.9405376671375</v>
      </c>
      <c r="M13" s="83">
        <v>5611.5290546565575</v>
      </c>
      <c r="N13" s="83">
        <v>5691.3671237735571</v>
      </c>
      <c r="O13" s="82">
        <f>'Exh 10 Forecast Parameters'!$B$7*'Exh 5 Stores IS'!O12</f>
        <v>5980.9650474600003</v>
      </c>
      <c r="P13" s="82">
        <f>'Exh 10 Forecast Parameters'!$B$7*'Exh 5 Stores IS'!P12</f>
        <v>6172.8762729378477</v>
      </c>
      <c r="Q13" s="82">
        <f>'Exh 10 Forecast Parameters'!$B$7*'Exh 5 Stores IS'!Q12</f>
        <v>6364.7539590058468</v>
      </c>
      <c r="R13" s="82">
        <f>'Exh 10 Forecast Parameters'!$B$7*'Exh 5 Stores IS'!R12</f>
        <v>6556.2121228467004</v>
      </c>
      <c r="S13" s="82">
        <f>'Exh 10 Forecast Parameters'!$B$7*'Exh 5 Stores IS'!S12</f>
        <v>6746.8536589548357</v>
      </c>
      <c r="T13" s="82">
        <f>'Exh 10 Forecast Parameters'!$B$7*'Exh 5 Stores IS'!T12</f>
        <v>6936.2715754299916</v>
      </c>
    </row>
    <row r="14" spans="1:20" ht="14.1" customHeight="1" x14ac:dyDescent="0.25">
      <c r="A14" s="73"/>
      <c r="B14" s="73" t="s">
        <v>11</v>
      </c>
      <c r="C14" s="73"/>
      <c r="D14" s="73"/>
      <c r="E14" s="78"/>
      <c r="F14" s="83">
        <v>2061.0794061383854</v>
      </c>
      <c r="G14" s="83">
        <v>3590.2263091317868</v>
      </c>
      <c r="H14" s="83">
        <v>4303.6605396403183</v>
      </c>
      <c r="I14" s="83">
        <v>3351.6454344543645</v>
      </c>
      <c r="J14" s="83">
        <v>2851.0372843047121</v>
      </c>
      <c r="K14" s="83">
        <v>3041.9421398052878</v>
      </c>
      <c r="L14" s="83">
        <v>3247.5212314545197</v>
      </c>
      <c r="M14" s="83">
        <v>3397.2094165729495</v>
      </c>
      <c r="N14" s="83">
        <v>3618.5146211771503</v>
      </c>
      <c r="O14" s="82">
        <f>'Exh 10 Forecast Parameters'!$B$8*'Exh 5 Stores IS'!P13</f>
        <v>3618.4486211773083</v>
      </c>
      <c r="P14" s="82">
        <f>'Exh 10 Forecast Parameters'!$B$8*'Exh 5 Stores IS'!Q13</f>
        <v>3730.9244781179827</v>
      </c>
      <c r="Q14" s="82">
        <f>'Exh 10 Forecast Parameters'!$B$8*'Exh 5 Stores IS'!R13</f>
        <v>3843.1544173442489</v>
      </c>
      <c r="R14" s="82">
        <f>'Exh 10 Forecast Parameters'!$B$8*'Exh 5 Stores IS'!S13</f>
        <v>3954.9056614917849</v>
      </c>
      <c r="S14" s="82">
        <f>'Exh 10 Forecast Parameters'!$B$8*'Exh 5 Stores IS'!T13</f>
        <v>4065.9396379381651</v>
      </c>
      <c r="T14" s="82">
        <f>'Exh 10 Forecast Parameters'!$B$8*'Exh 5 Stores IS'!U13</f>
        <v>4176.0127558164268</v>
      </c>
    </row>
    <row r="15" spans="1:20" ht="14.1" customHeight="1" x14ac:dyDescent="0.25">
      <c r="A15" s="73"/>
      <c r="B15" s="73" t="s">
        <v>50</v>
      </c>
      <c r="C15" s="73"/>
      <c r="D15" s="73"/>
      <c r="E15" s="78"/>
      <c r="F15" s="83">
        <v>762.05858689007141</v>
      </c>
      <c r="G15" s="83">
        <v>1255.2551043878689</v>
      </c>
      <c r="H15" s="83">
        <v>1420.5156336757141</v>
      </c>
      <c r="I15" s="83">
        <v>1124.1693106251623</v>
      </c>
      <c r="J15" s="83">
        <v>1025.0622521790533</v>
      </c>
      <c r="K15" s="83">
        <v>1089.5262432495163</v>
      </c>
      <c r="L15" s="83">
        <v>1123.7387488116453</v>
      </c>
      <c r="M15" s="83">
        <v>1138.6307475484894</v>
      </c>
      <c r="N15" s="83">
        <v>1152.828408766022</v>
      </c>
      <c r="O15" s="82">
        <f>'Exh 10 Forecast Parameters'!$B$9*'Exh 5 Stores IS'!P13</f>
        <v>1239.0905992687001</v>
      </c>
      <c r="P15" s="82">
        <f>'Exh 10 Forecast Parameters'!$B$9*'Exh 5 Stores IS'!Q13</f>
        <v>1277.6064914563683</v>
      </c>
      <c r="Q15" s="82">
        <f>'Exh 10 Forecast Parameters'!$B$9*'Exh 5 Stores IS'!R13</f>
        <v>1316.0381723258668</v>
      </c>
      <c r="R15" s="82">
        <f>'Exh 10 Forecast Parameters'!$B$9*'Exh 5 Stores IS'!S13</f>
        <v>1354.3059303007583</v>
      </c>
      <c r="S15" s="82">
        <f>'Exh 10 Forecast Parameters'!$B$9*'Exh 5 Stores IS'!T13</f>
        <v>1392.3280692939516</v>
      </c>
      <c r="T15" s="82">
        <f>'Exh 10 Forecast Parameters'!$B$9*'Exh 5 Stores IS'!U13</f>
        <v>1430.0211747858773</v>
      </c>
    </row>
    <row r="16" spans="1:20" ht="14.1" customHeight="1" x14ac:dyDescent="0.25">
      <c r="A16" s="73"/>
      <c r="B16" s="73" t="s">
        <v>51</v>
      </c>
      <c r="C16" s="73"/>
      <c r="D16" s="73"/>
      <c r="E16" s="78"/>
      <c r="F16" s="83">
        <v>95.399740286596071</v>
      </c>
      <c r="G16" s="83">
        <v>157.97283155935887</v>
      </c>
      <c r="H16" s="83">
        <v>192.58841772981469</v>
      </c>
      <c r="I16" s="83">
        <v>172.91370318171704</v>
      </c>
      <c r="J16" s="83">
        <v>162.10587311590243</v>
      </c>
      <c r="K16" s="83">
        <v>162.13772947175622</v>
      </c>
      <c r="L16" s="83">
        <v>174.65825296930274</v>
      </c>
      <c r="M16" s="83">
        <v>176.57589286400261</v>
      </c>
      <c r="N16" s="83">
        <v>178.68648191090205</v>
      </c>
      <c r="O16" s="82">
        <f>'Exh 10 Forecast Parameters'!$B$10*('Exh 5 Stores IS'!P14+'Exh 5 Stores IS'!P15)</f>
        <v>190.21603922534405</v>
      </c>
      <c r="P16" s="82">
        <f>'Exh 10 Forecast Parameters'!$B$10*('Exh 5 Stores IS'!Q14+'Exh 5 Stores IS'!Q15)</f>
        <v>196.1287145886246</v>
      </c>
      <c r="Q16" s="82">
        <f>'Exh 10 Forecast Parameters'!$B$10*('Exh 5 Stores IS'!R14+'Exh 5 Stores IS'!R15)</f>
        <v>202.028462452165</v>
      </c>
      <c r="R16" s="82">
        <f>'Exh 10 Forecast Parameters'!$B$10*('Exh 5 Stores IS'!S14+'Exh 5 Stores IS'!S15)</f>
        <v>207.90304608334904</v>
      </c>
      <c r="S16" s="82">
        <f>'Exh 10 Forecast Parameters'!$B$10*('Exh 5 Stores IS'!T14+'Exh 5 Stores IS'!T15)</f>
        <v>213.73992410213899</v>
      </c>
      <c r="T16" s="82">
        <f>'Exh 10 Forecast Parameters'!$B$10*('Exh 5 Stores IS'!U14+'Exh 5 Stores IS'!U15)</f>
        <v>219.52629132743209</v>
      </c>
    </row>
    <row r="17" spans="1:22" ht="14.1" hidden="1" customHeight="1" x14ac:dyDescent="0.25">
      <c r="A17" s="73"/>
      <c r="B17" s="73"/>
      <c r="C17" s="73"/>
      <c r="D17" s="73"/>
      <c r="E17" s="78"/>
      <c r="F17" s="78"/>
      <c r="G17" s="78"/>
      <c r="H17" s="78"/>
      <c r="I17" s="78"/>
      <c r="J17" s="78"/>
      <c r="K17" s="78"/>
      <c r="L17" s="78"/>
      <c r="M17" s="78"/>
      <c r="N17" s="78"/>
      <c r="O17" s="78"/>
      <c r="P17" s="78"/>
      <c r="Q17" s="78"/>
      <c r="R17" s="78"/>
      <c r="S17" s="78"/>
      <c r="T17" s="78"/>
    </row>
    <row r="18" spans="1:22" ht="14.1" hidden="1" customHeight="1" x14ac:dyDescent="0.25">
      <c r="A18" s="76"/>
      <c r="B18" s="73"/>
      <c r="C18" s="73"/>
      <c r="D18" s="73"/>
      <c r="E18" s="78"/>
      <c r="F18" s="78"/>
      <c r="G18" s="78"/>
      <c r="H18" s="78"/>
      <c r="I18" s="78"/>
      <c r="J18" s="78"/>
      <c r="K18" s="78"/>
      <c r="L18" s="78"/>
      <c r="M18" s="78"/>
      <c r="N18" s="78"/>
      <c r="O18" s="78"/>
      <c r="P18" s="78"/>
      <c r="Q18" s="78"/>
      <c r="R18" s="78"/>
      <c r="S18" s="78"/>
      <c r="T18" s="78"/>
    </row>
    <row r="19" spans="1:22" ht="14.1" customHeight="1" x14ac:dyDescent="0.25">
      <c r="A19" s="79">
        <v>2005</v>
      </c>
      <c r="B19" s="79"/>
      <c r="C19" s="80">
        <f>'Exh 5 Stores IS'!C19</f>
        <v>4</v>
      </c>
      <c r="D19" s="81">
        <f>'Exh 5 Stores IS'!D19</f>
        <v>18500</v>
      </c>
      <c r="E19" s="84"/>
      <c r="F19" s="84"/>
      <c r="G19" s="84">
        <v>0</v>
      </c>
      <c r="H19" s="84">
        <v>1</v>
      </c>
      <c r="I19" s="84">
        <v>2</v>
      </c>
      <c r="J19" s="84">
        <v>3</v>
      </c>
      <c r="K19" s="84">
        <v>4</v>
      </c>
      <c r="L19" s="84">
        <v>5</v>
      </c>
      <c r="M19" s="84">
        <v>6</v>
      </c>
      <c r="N19" s="84">
        <v>7</v>
      </c>
      <c r="O19" s="84">
        <v>8</v>
      </c>
      <c r="P19" s="84">
        <v>9</v>
      </c>
      <c r="Q19" s="84">
        <v>10</v>
      </c>
      <c r="R19" s="84">
        <v>11</v>
      </c>
      <c r="S19" s="84">
        <v>12</v>
      </c>
      <c r="T19" s="84">
        <v>13</v>
      </c>
      <c r="V19" s="5"/>
    </row>
    <row r="20" spans="1:22" ht="14.1" customHeight="1" x14ac:dyDescent="0.25">
      <c r="A20" s="73"/>
      <c r="B20" s="73" t="s">
        <v>48</v>
      </c>
      <c r="C20" s="73"/>
      <c r="D20" s="73"/>
      <c r="E20" s="78"/>
      <c r="F20" s="78"/>
      <c r="G20" s="83">
        <v>1814</v>
      </c>
      <c r="H20" s="82"/>
      <c r="I20" s="78"/>
      <c r="J20" s="78"/>
      <c r="K20" s="78"/>
      <c r="L20" s="78"/>
      <c r="M20" s="78"/>
      <c r="N20" s="82"/>
      <c r="O20" s="85">
        <f>'Exh 9 Capital Forecasting'!$D$69*G20*(HLOOKUP(O$2,'Exh 4 Econ Indicators'!$B$2:$R$3,2,FALSE)/HLOOKUP(G$2,'Exh 4 Econ Indicators'!$B$2:$R$3,2,FALSE))</f>
        <v>1506.3279739666664</v>
      </c>
      <c r="P20" s="78"/>
      <c r="Q20" s="78"/>
      <c r="R20" s="78"/>
      <c r="S20" s="78"/>
      <c r="T20" s="78"/>
    </row>
    <row r="21" spans="1:22" ht="14.1" customHeight="1" x14ac:dyDescent="0.25">
      <c r="A21" s="73"/>
      <c r="B21" s="73" t="s">
        <v>49</v>
      </c>
      <c r="C21" s="73"/>
      <c r="D21" s="73"/>
      <c r="E21" s="78"/>
      <c r="F21" s="78"/>
      <c r="G21" s="77"/>
      <c r="H21" s="83">
        <v>3140.2573153370722</v>
      </c>
      <c r="I21" s="83">
        <v>5508.3362094239837</v>
      </c>
      <c r="J21" s="83">
        <v>6296.3712390669789</v>
      </c>
      <c r="K21" s="83">
        <v>6230.7645197611955</v>
      </c>
      <c r="L21" s="83">
        <v>7149.279849071334</v>
      </c>
      <c r="M21" s="83">
        <v>7750.803209102367</v>
      </c>
      <c r="N21" s="83">
        <v>7949.6325528571906</v>
      </c>
      <c r="O21" s="82">
        <f>'Exh 10 Forecast Parameters'!$B$7*'Exh 5 Stores IS'!O20</f>
        <v>8200.4675873040014</v>
      </c>
      <c r="P21" s="82">
        <f>'Exh 10 Forecast Parameters'!$B$7*'Exh 5 Stores IS'!P20</f>
        <v>8463.5959907778233</v>
      </c>
      <c r="Q21" s="82">
        <f>'Exh 10 Forecast Parameters'!$B$7*'Exh 5 Stores IS'!Q20</f>
        <v>8726.678408555159</v>
      </c>
      <c r="R21" s="82">
        <f>'Exh 10 Forecast Parameters'!$B$7*'Exh 5 Stores IS'!R20</f>
        <v>8989.1856217629047</v>
      </c>
      <c r="S21" s="82">
        <f>'Exh 10 Forecast Parameters'!$B$7*'Exh 5 Stores IS'!S20</f>
        <v>9250.5731612725267</v>
      </c>
      <c r="T21" s="82">
        <f>'Exh 10 Forecast Parameters'!$B$7*'Exh 5 Stores IS'!T20</f>
        <v>9510.2830027752498</v>
      </c>
    </row>
    <row r="22" spans="1:22" ht="14.1" customHeight="1" x14ac:dyDescent="0.25">
      <c r="A22" s="73"/>
      <c r="B22" s="73" t="s">
        <v>11</v>
      </c>
      <c r="C22" s="73"/>
      <c r="D22" s="73"/>
      <c r="E22" s="78"/>
      <c r="F22" s="78"/>
      <c r="G22" s="83">
        <v>3296.1867949894472</v>
      </c>
      <c r="H22" s="83">
        <v>5271.0136233689773</v>
      </c>
      <c r="I22" s="83">
        <v>4639.7276270749089</v>
      </c>
      <c r="J22" s="83">
        <v>3974.8727240396611</v>
      </c>
      <c r="K22" s="83">
        <v>4074.823614099952</v>
      </c>
      <c r="L22" s="83">
        <v>4427.2526049967528</v>
      </c>
      <c r="M22" s="83">
        <v>4353.7393867654619</v>
      </c>
      <c r="N22" s="83">
        <v>5114.4019556117146</v>
      </c>
      <c r="O22" s="82">
        <f>'Exh 10 Forecast Parameters'!$B$8*'Exh 5 Stores IS'!P21</f>
        <v>4961.2345831866887</v>
      </c>
      <c r="P22" s="82">
        <f>'Exh 10 Forecast Parameters'!$B$8*'Exh 5 Stores IS'!Q21</f>
        <v>5115.4495989704628</v>
      </c>
      <c r="Q22" s="82">
        <f>'Exh 10 Forecast Parameters'!$B$8*'Exh 5 Stores IS'!R21</f>
        <v>5269.3274383570924</v>
      </c>
      <c r="R22" s="82">
        <f>'Exh 10 Forecast Parameters'!$B$8*'Exh 5 Stores IS'!S21</f>
        <v>5422.5489416096398</v>
      </c>
      <c r="S22" s="82">
        <f>'Exh 10 Forecast Parameters'!$B$8*'Exh 5 Stores IS'!T21</f>
        <v>5574.7870031453285</v>
      </c>
      <c r="T22" s="82">
        <f>'Exh 10 Forecast Parameters'!$B$8*'Exh 5 Stores IS'!U21</f>
        <v>5725.707636894479</v>
      </c>
    </row>
    <row r="23" spans="1:22" ht="14.1" customHeight="1" x14ac:dyDescent="0.25">
      <c r="A23" s="73"/>
      <c r="B23" s="73" t="s">
        <v>50</v>
      </c>
      <c r="C23" s="73"/>
      <c r="D23" s="73"/>
      <c r="E23" s="78"/>
      <c r="F23" s="78"/>
      <c r="G23" s="83">
        <v>1077.7804843703043</v>
      </c>
      <c r="H23" s="83">
        <v>1760.2111873284641</v>
      </c>
      <c r="I23" s="83">
        <v>1742.1706198380352</v>
      </c>
      <c r="J23" s="83">
        <v>1380.7489322358426</v>
      </c>
      <c r="K23" s="83">
        <v>1522.8391935568707</v>
      </c>
      <c r="L23" s="83">
        <v>1571.6809452207374</v>
      </c>
      <c r="M23" s="83">
        <v>1564.6663885990063</v>
      </c>
      <c r="N23" s="83">
        <v>1631.3393420161124</v>
      </c>
      <c r="O23" s="82">
        <f>'Exh 10 Forecast Parameters'!$B$9*'Exh 5 Stores IS'!P21</f>
        <v>1698.9101618895597</v>
      </c>
      <c r="P23" s="82">
        <f>'Exh 10 Forecast Parameters'!$B$9*'Exh 5 Stores IS'!Q21</f>
        <v>1751.7190853617342</v>
      </c>
      <c r="Q23" s="82">
        <f>'Exh 10 Forecast Parameters'!$B$9*'Exh 5 Stores IS'!R21</f>
        <v>1804.4125471685002</v>
      </c>
      <c r="R23" s="82">
        <f>'Exh 10 Forecast Parameters'!$B$9*'Exh 5 Stores IS'!S21</f>
        <v>1856.8812552150659</v>
      </c>
      <c r="S23" s="82">
        <f>'Exh 10 Forecast Parameters'!$B$9*'Exh 5 Stores IS'!T21</f>
        <v>1909.0131964552281</v>
      </c>
      <c r="T23" s="82">
        <f>'Exh 10 Forecast Parameters'!$B$9*'Exh 5 Stores IS'!U21</f>
        <v>1960.6940017096642</v>
      </c>
    </row>
    <row r="24" spans="1:22" ht="14.1" customHeight="1" x14ac:dyDescent="0.25">
      <c r="A24" s="73"/>
      <c r="B24" s="73" t="s">
        <v>51</v>
      </c>
      <c r="C24" s="73"/>
      <c r="D24" s="73"/>
      <c r="E24" s="78"/>
      <c r="F24" s="78"/>
      <c r="G24" s="83">
        <v>138.090877711779</v>
      </c>
      <c r="H24" s="83">
        <v>211.87393625883232</v>
      </c>
      <c r="I24" s="83">
        <v>239.86458103924693</v>
      </c>
      <c r="J24" s="83">
        <v>203.38655415390136</v>
      </c>
      <c r="K24" s="83">
        <v>240.36823964169261</v>
      </c>
      <c r="L24" s="83">
        <v>243.85129263254893</v>
      </c>
      <c r="M24" s="83">
        <v>250.83220523263634</v>
      </c>
      <c r="N24" s="83">
        <v>258.68023719768161</v>
      </c>
      <c r="O24" s="82">
        <f>'Exh 10 Forecast Parameters'!$B$10*('Exh 5 Stores IS'!P22+'Exh 5 Stores IS'!P23)</f>
        <v>260.80414312322773</v>
      </c>
      <c r="P24" s="82">
        <f>'Exh 10 Forecast Parameters'!$B$10*('Exh 5 Stores IS'!Q22+'Exh 5 Stores IS'!Q23)</f>
        <v>268.91097910807008</v>
      </c>
      <c r="Q24" s="82">
        <f>'Exh 10 Forecast Parameters'!$B$10*('Exh 5 Stores IS'!R22+'Exh 5 Stores IS'!R23)</f>
        <v>277.00009027061992</v>
      </c>
      <c r="R24" s="82">
        <f>'Exh 10 Forecast Parameters'!$B$10*('Exh 5 Stores IS'!S22+'Exh 5 Stores IS'!S23)</f>
        <v>285.05469889550898</v>
      </c>
      <c r="S24" s="82">
        <f>'Exh 10 Forecast Parameters'!$B$10*('Exh 5 Stores IS'!T22+'Exh 5 Stores IS'!T23)</f>
        <v>293.05760956700033</v>
      </c>
      <c r="T24" s="82">
        <f>'Exh 10 Forecast Parameters'!$B$10*('Exh 5 Stores IS'!U22+'Exh 5 Stores IS'!U23)</f>
        <v>300.99126517319814</v>
      </c>
    </row>
    <row r="25" spans="1:22" ht="14.1" hidden="1" customHeight="1" x14ac:dyDescent="0.25">
      <c r="A25" s="73"/>
      <c r="B25" s="73"/>
      <c r="C25" s="73"/>
      <c r="D25" s="73"/>
      <c r="E25" s="78"/>
      <c r="F25" s="78"/>
      <c r="G25" s="78"/>
      <c r="H25" s="78"/>
      <c r="I25" s="78"/>
      <c r="J25" s="78"/>
      <c r="K25" s="78"/>
      <c r="L25" s="78"/>
      <c r="M25" s="78"/>
      <c r="N25" s="78"/>
      <c r="O25" s="78"/>
      <c r="P25" s="78"/>
      <c r="Q25" s="78"/>
      <c r="R25" s="78"/>
      <c r="S25" s="78"/>
      <c r="T25" s="78"/>
    </row>
    <row r="26" spans="1:22" ht="14.1" hidden="1" customHeight="1" x14ac:dyDescent="0.25">
      <c r="A26" s="76"/>
      <c r="B26" s="73"/>
      <c r="C26" s="73"/>
      <c r="D26" s="73"/>
      <c r="E26" s="78"/>
      <c r="F26" s="78"/>
      <c r="G26" s="78"/>
      <c r="H26" s="78"/>
      <c r="I26" s="78"/>
      <c r="J26" s="78"/>
      <c r="K26" s="78"/>
      <c r="L26" s="78"/>
      <c r="M26" s="78"/>
      <c r="N26" s="78"/>
      <c r="O26" s="78"/>
      <c r="P26" s="78"/>
      <c r="Q26" s="78"/>
      <c r="R26" s="78"/>
      <c r="S26" s="78"/>
      <c r="T26" s="78"/>
    </row>
    <row r="27" spans="1:22" ht="14.1" customHeight="1" x14ac:dyDescent="0.25">
      <c r="A27" s="79">
        <v>2006</v>
      </c>
      <c r="B27" s="79"/>
      <c r="C27" s="80">
        <f>'Exh 5 Stores IS'!C27</f>
        <v>5</v>
      </c>
      <c r="D27" s="81">
        <f>'Exh 5 Stores IS'!D27</f>
        <v>21100</v>
      </c>
      <c r="E27" s="84"/>
      <c r="F27" s="84"/>
      <c r="G27" s="84"/>
      <c r="H27" s="84">
        <v>0</v>
      </c>
      <c r="I27" s="84">
        <v>1</v>
      </c>
      <c r="J27" s="84">
        <v>2</v>
      </c>
      <c r="K27" s="84">
        <v>3</v>
      </c>
      <c r="L27" s="84">
        <v>4</v>
      </c>
      <c r="M27" s="84">
        <v>5</v>
      </c>
      <c r="N27" s="84">
        <v>6</v>
      </c>
      <c r="O27" s="84">
        <v>7</v>
      </c>
      <c r="P27" s="84">
        <v>8</v>
      </c>
      <c r="Q27" s="84">
        <v>9</v>
      </c>
      <c r="R27" s="84">
        <v>10</v>
      </c>
      <c r="S27" s="84">
        <v>11</v>
      </c>
      <c r="T27" s="84">
        <v>12</v>
      </c>
    </row>
    <row r="28" spans="1:22" ht="14.1" customHeight="1" x14ac:dyDescent="0.25">
      <c r="A28" s="73"/>
      <c r="B28" s="73" t="s">
        <v>48</v>
      </c>
      <c r="C28" s="73"/>
      <c r="D28" s="73"/>
      <c r="E28" s="78"/>
      <c r="F28" s="78"/>
      <c r="G28" s="78"/>
      <c r="H28" s="83">
        <v>2971</v>
      </c>
      <c r="I28" s="82"/>
      <c r="J28" s="78"/>
      <c r="K28" s="78"/>
      <c r="L28" s="78"/>
      <c r="M28" s="78"/>
      <c r="N28" s="78"/>
      <c r="O28" s="82"/>
      <c r="P28" s="85">
        <f>'Exh 9 Capital Forecasting'!$D$69*H28*(HLOOKUP(P$2,'Exh 4 Econ Indicators'!$B$2:$R$3,2,FALSE)/HLOOKUP(H$2,'Exh 4 Econ Indicators'!$B$2:$R$3,2,FALSE))</f>
        <v>2449.5103574545819</v>
      </c>
      <c r="Q28" s="78"/>
      <c r="R28" s="78"/>
      <c r="S28" s="78"/>
      <c r="T28" s="78"/>
      <c r="V28" s="57"/>
    </row>
    <row r="29" spans="1:22" ht="14.1" customHeight="1" x14ac:dyDescent="0.25">
      <c r="A29" s="73"/>
      <c r="B29" s="73" t="s">
        <v>49</v>
      </c>
      <c r="C29" s="73"/>
      <c r="D29" s="73"/>
      <c r="E29" s="78"/>
      <c r="F29" s="78"/>
      <c r="G29" s="78"/>
      <c r="H29" s="77"/>
      <c r="I29" s="83">
        <v>4433.2016283488692</v>
      </c>
      <c r="J29" s="83">
        <v>6592.6253119805524</v>
      </c>
      <c r="K29" s="83">
        <v>7974.1282012752936</v>
      </c>
      <c r="L29" s="83">
        <v>10039.839124211874</v>
      </c>
      <c r="M29" s="83">
        <v>10907.929926592791</v>
      </c>
      <c r="N29" s="83">
        <v>11761.443510421352</v>
      </c>
      <c r="O29" s="82">
        <f>'Exh 10 Forecast Parameters'!$B$7*'Exh 5 Stores IS'!O28</f>
        <v>11656.329675839999</v>
      </c>
      <c r="P29" s="82">
        <f>'Exh 10 Forecast Parameters'!$B$7*'Exh 5 Stores IS'!P28</f>
        <v>12030.346326148676</v>
      </c>
      <c r="Q29" s="82">
        <f>'Exh 10 Forecast Parameters'!$B$7*'Exh 5 Stores IS'!Q28</f>
        <v>12404.297611350679</v>
      </c>
      <c r="R29" s="82">
        <f>'Exh 10 Forecast Parameters'!$B$7*'Exh 5 Stores IS'!R28</f>
        <v>12777.431287797719</v>
      </c>
      <c r="S29" s="82">
        <f>'Exh 10 Forecast Parameters'!$B$7*'Exh 5 Stores IS'!S28</f>
        <v>13148.9734347843</v>
      </c>
      <c r="T29" s="82">
        <f>'Exh 10 Forecast Parameters'!$B$7*'Exh 5 Stores IS'!T28</f>
        <v>13518.130863965866</v>
      </c>
    </row>
    <row r="30" spans="1:22" ht="14.1" customHeight="1" x14ac:dyDescent="0.25">
      <c r="A30" s="73"/>
      <c r="B30" s="73" t="s">
        <v>11</v>
      </c>
      <c r="C30" s="73"/>
      <c r="D30" s="73"/>
      <c r="E30" s="78"/>
      <c r="F30" s="78"/>
      <c r="G30" s="78"/>
      <c r="H30" s="83">
        <v>4344.0209209035011</v>
      </c>
      <c r="I30" s="83">
        <v>6517.789103516664</v>
      </c>
      <c r="J30" s="83">
        <v>6634.630707193689</v>
      </c>
      <c r="K30" s="83">
        <v>5869.9537250245912</v>
      </c>
      <c r="L30" s="83">
        <v>6688.941171593573</v>
      </c>
      <c r="M30" s="83">
        <v>6854.1007588111925</v>
      </c>
      <c r="N30" s="83">
        <v>6348.3899767252005</v>
      </c>
      <c r="O30" s="82">
        <f>'Exh 10 Forecast Parameters'!$B$8*'Exh 5 Stores IS'!P29</f>
        <v>7052.0107890353738</v>
      </c>
      <c r="P30" s="82">
        <f>'Exh 10 Forecast Parameters'!$B$8*'Exh 5 Stores IS'!Q29</f>
        <v>7271.2154924017486</v>
      </c>
      <c r="Q30" s="82">
        <f>'Exh 10 Forecast Parameters'!$B$8*'Exh 5 Stores IS'!R29</f>
        <v>7489.9409256286845</v>
      </c>
      <c r="R30" s="82">
        <f>'Exh 10 Forecast Parameters'!$B$8*'Exh 5 Stores IS'!S29</f>
        <v>7707.7334278641156</v>
      </c>
      <c r="S30" s="82">
        <f>'Exh 10 Forecast Parameters'!$B$8*'Exh 5 Stores IS'!T29</f>
        <v>7924.1280438513977</v>
      </c>
      <c r="T30" s="82">
        <f>'Exh 10 Forecast Parameters'!$B$8*'Exh 5 Stores IS'!U29</f>
        <v>8138.6500382545437</v>
      </c>
    </row>
    <row r="31" spans="1:22" ht="14.1" customHeight="1" x14ac:dyDescent="0.25">
      <c r="A31" s="73"/>
      <c r="B31" s="73" t="s">
        <v>50</v>
      </c>
      <c r="C31" s="73"/>
      <c r="D31" s="73"/>
      <c r="E31" s="78"/>
      <c r="F31" s="78"/>
      <c r="G31" s="78"/>
      <c r="H31" s="83">
        <v>1533.4807295629762</v>
      </c>
      <c r="I31" s="83">
        <v>2226.7780530064824</v>
      </c>
      <c r="J31" s="83">
        <v>2181.1927133770864</v>
      </c>
      <c r="K31" s="83">
        <v>1889.4706039625571</v>
      </c>
      <c r="L31" s="83">
        <v>2165.2442041634035</v>
      </c>
      <c r="M31" s="83">
        <v>2325.0280057094255</v>
      </c>
      <c r="N31" s="83">
        <v>2376.70538209184</v>
      </c>
      <c r="O31" s="82">
        <f>'Exh 10 Forecast Parameters'!$B$9*'Exh 5 Stores IS'!P29</f>
        <v>2414.8692407831218</v>
      </c>
      <c r="P31" s="82">
        <f>'Exh 10 Forecast Parameters'!$B$9*'Exh 5 Stores IS'!Q29</f>
        <v>2489.9330362636242</v>
      </c>
      <c r="Q31" s="82">
        <f>'Exh 10 Forecast Parameters'!$B$9*'Exh 5 Stores IS'!R29</f>
        <v>2564.83271192747</v>
      </c>
      <c r="R31" s="82">
        <f>'Exh 10 Forecast Parameters'!$B$9*'Exh 5 Stores IS'!S29</f>
        <v>2639.4129175248968</v>
      </c>
      <c r="S31" s="82">
        <f>'Exh 10 Forecast Parameters'!$B$9*'Exh 5 Stores IS'!T29</f>
        <v>2713.5144351844074</v>
      </c>
      <c r="T31" s="82">
        <f>'Exh 10 Forecast Parameters'!$B$9*'Exh 5 Stores IS'!U29</f>
        <v>2786.9746979737201</v>
      </c>
    </row>
    <row r="32" spans="1:22" ht="14.1" customHeight="1" x14ac:dyDescent="0.25">
      <c r="A32" s="73"/>
      <c r="B32" s="73" t="s">
        <v>51</v>
      </c>
      <c r="C32" s="73"/>
      <c r="D32" s="73"/>
      <c r="E32" s="78"/>
      <c r="F32" s="78"/>
      <c r="G32" s="78"/>
      <c r="H32" s="83">
        <v>192.85986756318354</v>
      </c>
      <c r="I32" s="83">
        <v>271.56754269566369</v>
      </c>
      <c r="J32" s="83">
        <v>299.90075690952142</v>
      </c>
      <c r="K32" s="83">
        <v>291.48216333732438</v>
      </c>
      <c r="L32" s="83">
        <v>336.7544478960865</v>
      </c>
      <c r="M32" s="83">
        <v>342.51499075714423</v>
      </c>
      <c r="N32" s="83">
        <v>361.5444955464589</v>
      </c>
      <c r="O32" s="82">
        <f>'Exh 10 Forecast Parameters'!$B$10*('Exh 5 Stores IS'!P30+'Exh 5 Stores IS'!P31)</f>
        <v>370.71289419835921</v>
      </c>
      <c r="P32" s="82">
        <f>'Exh 10 Forecast Parameters'!$B$10*('Exh 5 Stores IS'!Q30+'Exh 5 Stores IS'!Q31)</f>
        <v>382.23613380162095</v>
      </c>
      <c r="Q32" s="82">
        <f>'Exh 10 Forecast Parameters'!$B$10*('Exh 5 Stores IS'!R30+'Exh 5 Stores IS'!R31)</f>
        <v>393.73417894250747</v>
      </c>
      <c r="R32" s="82">
        <f>'Exh 10 Forecast Parameters'!$B$10*('Exh 5 Stores IS'!S30+'Exh 5 Stores IS'!S31)</f>
        <v>405.18318139779768</v>
      </c>
      <c r="S32" s="82">
        <f>'Exh 10 Forecast Parameters'!$B$10*('Exh 5 Stores IS'!T30+'Exh 5 Stores IS'!T31)</f>
        <v>416.55869921554074</v>
      </c>
      <c r="T32" s="82">
        <f>'Exh 10 Forecast Parameters'!$B$10*('Exh 5 Stores IS'!U30+'Exh 5 Stores IS'!U31)</f>
        <v>427.83577632070381</v>
      </c>
    </row>
    <row r="33" spans="1:20" ht="14.1" hidden="1" customHeight="1" x14ac:dyDescent="0.25">
      <c r="A33" s="73"/>
      <c r="B33" s="73"/>
      <c r="C33" s="73"/>
      <c r="D33" s="73"/>
      <c r="E33" s="78"/>
      <c r="F33" s="78"/>
      <c r="G33" s="78"/>
      <c r="H33" s="78"/>
      <c r="I33" s="78"/>
      <c r="J33" s="78"/>
      <c r="K33" s="78"/>
      <c r="L33" s="78"/>
      <c r="M33" s="78"/>
      <c r="N33" s="78"/>
      <c r="O33" s="78"/>
      <c r="P33" s="78"/>
      <c r="Q33" s="78"/>
      <c r="R33" s="78"/>
      <c r="S33" s="78"/>
      <c r="T33" s="78"/>
    </row>
    <row r="34" spans="1:20" ht="14.1" hidden="1" customHeight="1" x14ac:dyDescent="0.25">
      <c r="A34" s="76"/>
      <c r="B34" s="73"/>
      <c r="C34" s="73"/>
      <c r="D34" s="73"/>
      <c r="E34" s="78"/>
      <c r="F34" s="78"/>
      <c r="G34" s="78"/>
      <c r="H34" s="78"/>
      <c r="I34" s="78"/>
      <c r="J34" s="78"/>
      <c r="K34" s="78"/>
      <c r="L34" s="78"/>
      <c r="M34" s="78"/>
      <c r="N34" s="78"/>
      <c r="O34" s="78"/>
      <c r="P34" s="78"/>
      <c r="Q34" s="78"/>
      <c r="R34" s="78"/>
      <c r="S34" s="78"/>
      <c r="T34" s="78"/>
    </row>
    <row r="35" spans="1:20" ht="14.1" customHeight="1" x14ac:dyDescent="0.25">
      <c r="A35" s="79">
        <v>2007</v>
      </c>
      <c r="B35" s="79"/>
      <c r="C35" s="80">
        <f>'Exh 5 Stores IS'!C35</f>
        <v>6</v>
      </c>
      <c r="D35" s="81">
        <f>'Exh 5 Stores IS'!D35</f>
        <v>22100</v>
      </c>
      <c r="E35" s="84"/>
      <c r="F35" s="84"/>
      <c r="G35" s="84"/>
      <c r="H35" s="84"/>
      <c r="I35" s="84">
        <v>0</v>
      </c>
      <c r="J35" s="84">
        <v>1</v>
      </c>
      <c r="K35" s="84">
        <v>2</v>
      </c>
      <c r="L35" s="84">
        <v>3</v>
      </c>
      <c r="M35" s="84">
        <v>4</v>
      </c>
      <c r="N35" s="84">
        <v>5</v>
      </c>
      <c r="O35" s="84">
        <v>6</v>
      </c>
      <c r="P35" s="84">
        <v>7</v>
      </c>
      <c r="Q35" s="84">
        <v>8</v>
      </c>
      <c r="R35" s="84">
        <v>9</v>
      </c>
      <c r="S35" s="84">
        <v>10</v>
      </c>
      <c r="T35" s="84">
        <v>11</v>
      </c>
    </row>
    <row r="36" spans="1:20" ht="14.1" customHeight="1" x14ac:dyDescent="0.25">
      <c r="A36" s="73"/>
      <c r="B36" s="73" t="s">
        <v>48</v>
      </c>
      <c r="C36" s="73"/>
      <c r="D36" s="73"/>
      <c r="E36" s="78"/>
      <c r="F36" s="78"/>
      <c r="G36" s="78"/>
      <c r="H36" s="78"/>
      <c r="I36" s="83">
        <v>4058</v>
      </c>
      <c r="J36" s="82"/>
      <c r="K36" s="78"/>
      <c r="L36" s="78"/>
      <c r="M36" s="78"/>
      <c r="N36" s="78"/>
      <c r="O36" s="78"/>
      <c r="P36" s="82"/>
      <c r="Q36" s="85">
        <f>'Exh 9 Capital Forecasting'!$D$69*I36*(HLOOKUP(Q$2,'Exh 4 Econ Indicators'!$B$2:$R$3,2,FALSE)/HLOOKUP(I$2,'Exh 4 Econ Indicators'!$B$2:$R$3,2,FALSE))</f>
        <v>3276.8814007526644</v>
      </c>
      <c r="R36" s="78"/>
      <c r="S36" s="78"/>
      <c r="T36" s="78"/>
    </row>
    <row r="37" spans="1:20" ht="14.1" customHeight="1" x14ac:dyDescent="0.25">
      <c r="A37" s="73"/>
      <c r="B37" s="73" t="s">
        <v>49</v>
      </c>
      <c r="C37" s="73"/>
      <c r="D37" s="73"/>
      <c r="E37" s="78"/>
      <c r="F37" s="78"/>
      <c r="G37" s="78"/>
      <c r="H37" s="78"/>
      <c r="I37" s="77"/>
      <c r="J37" s="83">
        <v>4817.382080428526</v>
      </c>
      <c r="K37" s="83">
        <v>6829.1234778058742</v>
      </c>
      <c r="L37" s="83">
        <v>9849.4844422324913</v>
      </c>
      <c r="M37" s="83">
        <v>12400.458430128157</v>
      </c>
      <c r="N37" s="83">
        <v>13919.559170395845</v>
      </c>
      <c r="O37" s="82">
        <f>'Exh 10 Forecast Parameters'!$B$7*'Exh 5 Stores IS'!O36</f>
        <v>14748.460057800001</v>
      </c>
      <c r="P37" s="82">
        <f>'Exh 10 Forecast Parameters'!$B$7*'Exh 5 Stores IS'!P36</f>
        <v>15221.693895674627</v>
      </c>
      <c r="Q37" s="82">
        <f>'Exh 10 Forecast Parameters'!$B$7*'Exh 5 Stores IS'!Q36</f>
        <v>15694.845028727774</v>
      </c>
      <c r="R37" s="82">
        <f>'Exh 10 Forecast Parameters'!$B$7*'Exh 5 Stores IS'!R36</f>
        <v>16166.961662036931</v>
      </c>
      <c r="S37" s="82">
        <f>'Exh 10 Forecast Parameters'!$B$7*'Exh 5 Stores IS'!S36</f>
        <v>16637.06457324564</v>
      </c>
      <c r="T37" s="82">
        <f>'Exh 10 Forecast Parameters'!$B$7*'Exh 5 Stores IS'!T36</f>
        <v>17104.150161139507</v>
      </c>
    </row>
    <row r="38" spans="1:20" ht="14.1" customHeight="1" x14ac:dyDescent="0.25">
      <c r="A38" s="73"/>
      <c r="B38" s="73" t="s">
        <v>11</v>
      </c>
      <c r="C38" s="73"/>
      <c r="D38" s="73"/>
      <c r="E38" s="78"/>
      <c r="F38" s="78"/>
      <c r="G38" s="78"/>
      <c r="H38" s="78"/>
      <c r="I38" s="83">
        <v>5232.0487492051234</v>
      </c>
      <c r="J38" s="83">
        <v>6245.9850508603877</v>
      </c>
      <c r="K38" s="83">
        <v>8709.6172209313681</v>
      </c>
      <c r="L38" s="83">
        <v>7320.2463780495218</v>
      </c>
      <c r="M38" s="83">
        <v>8121.2050260434298</v>
      </c>
      <c r="N38" s="83">
        <v>9022.1975022161278</v>
      </c>
      <c r="O38" s="82">
        <f>'Exh 10 Forecast Parameters'!$B$8*'Exh 5 Stores IS'!P37</f>
        <v>8922.7314550682349</v>
      </c>
      <c r="P38" s="82">
        <f>'Exh 10 Forecast Parameters'!$B$8*'Exh 5 Stores IS'!Q37</f>
        <v>9200.0856396175732</v>
      </c>
      <c r="Q38" s="82">
        <f>'Exh 10 Forecast Parameters'!$B$8*'Exh 5 Stores IS'!R37</f>
        <v>9476.8334157429053</v>
      </c>
      <c r="R38" s="82">
        <f>'Exh 10 Forecast Parameters'!$B$8*'Exh 5 Stores IS'!S37</f>
        <v>9752.4007778058785</v>
      </c>
      <c r="S38" s="82">
        <f>'Exh 10 Forecast Parameters'!$B$8*'Exh 5 Stores IS'!T37</f>
        <v>10026.199429642777</v>
      </c>
      <c r="T38" s="82">
        <f>'Exh 10 Forecast Parameters'!$B$8*'Exh 5 Stores IS'!U37</f>
        <v>10297.628700602065</v>
      </c>
    </row>
    <row r="39" spans="1:20" ht="14.1" customHeight="1" x14ac:dyDescent="0.25">
      <c r="A39" s="73"/>
      <c r="B39" s="73" t="s">
        <v>50</v>
      </c>
      <c r="C39" s="73"/>
      <c r="D39" s="73"/>
      <c r="E39" s="78"/>
      <c r="F39" s="78"/>
      <c r="G39" s="78"/>
      <c r="H39" s="78"/>
      <c r="I39" s="83">
        <v>1731.6415178095378</v>
      </c>
      <c r="J39" s="83">
        <v>2480.3676468610629</v>
      </c>
      <c r="K39" s="83">
        <v>2711.8923677746848</v>
      </c>
      <c r="L39" s="83">
        <v>2631.0818908399056</v>
      </c>
      <c r="M39" s="83">
        <v>2711.9898835506115</v>
      </c>
      <c r="N39" s="83">
        <v>2919.0030166884576</v>
      </c>
      <c r="O39" s="82">
        <f>'Exh 10 Forecast Parameters'!$B$9*'Exh 5 Stores IS'!P37</f>
        <v>3055.4731663363914</v>
      </c>
      <c r="P39" s="82">
        <f>'Exh 10 Forecast Parameters'!$B$9*'Exh 5 Stores IS'!Q37</f>
        <v>3150.449494238791</v>
      </c>
      <c r="Q39" s="82">
        <f>'Exh 10 Forecast Parameters'!$B$9*'Exh 5 Stores IS'!R37</f>
        <v>3245.218165474987</v>
      </c>
      <c r="R39" s="82">
        <f>'Exh 10 Forecast Parameters'!$B$9*'Exh 5 Stores IS'!S37</f>
        <v>3339.5826192906688</v>
      </c>
      <c r="S39" s="82">
        <f>'Exh 10 Forecast Parameters'!$B$9*'Exh 5 Stores IS'!T37</f>
        <v>3433.3414013272536</v>
      </c>
      <c r="T39" s="82">
        <f>'Exh 10 Forecast Parameters'!$B$9*'Exh 5 Stores IS'!U37</f>
        <v>3526.2888197439847</v>
      </c>
    </row>
    <row r="40" spans="1:20" ht="14.1" customHeight="1" x14ac:dyDescent="0.25">
      <c r="A40" s="73"/>
      <c r="B40" s="73" t="s">
        <v>51</v>
      </c>
      <c r="C40" s="73"/>
      <c r="D40" s="73"/>
      <c r="E40" s="78"/>
      <c r="F40" s="78"/>
      <c r="G40" s="78"/>
      <c r="H40" s="78"/>
      <c r="I40" s="83">
        <v>213.05854295593596</v>
      </c>
      <c r="J40" s="83">
        <v>293.40893601575812</v>
      </c>
      <c r="K40" s="83">
        <v>362.30168355498085</v>
      </c>
      <c r="L40" s="83">
        <v>380.88962239995203</v>
      </c>
      <c r="M40" s="83">
        <v>435.5288793952331</v>
      </c>
      <c r="N40" s="83">
        <v>435.26198506449663</v>
      </c>
      <c r="O40" s="82">
        <f>'Exh 10 Forecast Parameters'!$B$10*('Exh 5 Stores IS'!P38+'Exh 5 Stores IS'!P39)</f>
        <v>469.05367856301069</v>
      </c>
      <c r="P40" s="82">
        <f>'Exh 10 Forecast Parameters'!$B$10*('Exh 5 Stores IS'!Q38+'Exh 5 Stores IS'!Q39)</f>
        <v>483.63374310746326</v>
      </c>
      <c r="Q40" s="82">
        <f>'Exh 10 Forecast Parameters'!$B$10*('Exh 5 Stores IS'!R38+'Exh 5 Stores IS'!R39)</f>
        <v>498.18192973387869</v>
      </c>
      <c r="R40" s="82">
        <f>'Exh 10 Forecast Parameters'!$B$10*('Exh 5 Stores IS'!S38+'Exh 5 Stores IS'!S39)</f>
        <v>512.66806388668044</v>
      </c>
      <c r="S40" s="82">
        <f>'Exh 10 Forecast Parameters'!$B$10*('Exh 5 Stores IS'!T38+'Exh 5 Stores IS'!T39)</f>
        <v>527.06121978029887</v>
      </c>
      <c r="T40" s="82">
        <f>'Exh 10 Forecast Parameters'!$B$10*('Exh 5 Stores IS'!U38+'Exh 5 Stores IS'!U39)</f>
        <v>541.32982112219111</v>
      </c>
    </row>
    <row r="41" spans="1:20" ht="14.1" hidden="1" customHeight="1" x14ac:dyDescent="0.25">
      <c r="A41" s="73"/>
      <c r="B41" s="73"/>
      <c r="C41" s="73"/>
      <c r="D41" s="73"/>
      <c r="E41" s="78"/>
      <c r="F41" s="78"/>
      <c r="G41" s="78"/>
      <c r="H41" s="78"/>
      <c r="I41" s="78"/>
      <c r="J41" s="78"/>
      <c r="K41" s="78"/>
      <c r="L41" s="78"/>
      <c r="M41" s="78"/>
      <c r="N41" s="78"/>
      <c r="O41" s="78"/>
      <c r="P41" s="78"/>
      <c r="Q41" s="78"/>
      <c r="R41" s="78"/>
      <c r="S41" s="78"/>
      <c r="T41" s="78"/>
    </row>
    <row r="42" spans="1:20" ht="14.1" hidden="1" customHeight="1" x14ac:dyDescent="0.25">
      <c r="A42" s="76"/>
      <c r="B42" s="73"/>
      <c r="C42" s="73"/>
      <c r="D42" s="73"/>
      <c r="E42" s="78"/>
      <c r="F42" s="78"/>
      <c r="G42" s="78"/>
      <c r="H42" s="78"/>
      <c r="I42" s="78"/>
      <c r="J42" s="78"/>
      <c r="K42" s="78"/>
      <c r="L42" s="78"/>
      <c r="M42" s="78"/>
      <c r="N42" s="78"/>
      <c r="O42" s="78"/>
      <c r="P42" s="78"/>
      <c r="Q42" s="78"/>
      <c r="R42" s="78"/>
      <c r="S42" s="78"/>
      <c r="T42" s="78"/>
    </row>
    <row r="43" spans="1:20" ht="14.1" customHeight="1" x14ac:dyDescent="0.25">
      <c r="A43" s="79">
        <v>2008</v>
      </c>
      <c r="B43" s="79"/>
      <c r="C43" s="80">
        <f>'Exh 5 Stores IS'!C43</f>
        <v>2</v>
      </c>
      <c r="D43" s="81">
        <f>'Exh 5 Stores IS'!D43</f>
        <v>15500</v>
      </c>
      <c r="E43" s="84"/>
      <c r="F43" s="84"/>
      <c r="G43" s="84"/>
      <c r="H43" s="84"/>
      <c r="I43" s="84"/>
      <c r="J43" s="84">
        <v>0</v>
      </c>
      <c r="K43" s="84">
        <v>1</v>
      </c>
      <c r="L43" s="84">
        <v>2</v>
      </c>
      <c r="M43" s="84">
        <v>3</v>
      </c>
      <c r="N43" s="84">
        <v>4</v>
      </c>
      <c r="O43" s="84">
        <v>5</v>
      </c>
      <c r="P43" s="84">
        <v>6</v>
      </c>
      <c r="Q43" s="84">
        <v>7</v>
      </c>
      <c r="R43" s="84">
        <v>8</v>
      </c>
      <c r="S43" s="84">
        <v>9</v>
      </c>
      <c r="T43" s="84">
        <v>10</v>
      </c>
    </row>
    <row r="44" spans="1:20" ht="14.1" customHeight="1" x14ac:dyDescent="0.25">
      <c r="A44" s="73"/>
      <c r="B44" s="73" t="s">
        <v>48</v>
      </c>
      <c r="C44" s="73"/>
      <c r="D44" s="73"/>
      <c r="E44" s="78"/>
      <c r="F44" s="78"/>
      <c r="G44" s="78"/>
      <c r="H44" s="78"/>
      <c r="I44" s="78"/>
      <c r="J44" s="83">
        <v>924</v>
      </c>
      <c r="K44" s="82"/>
      <c r="L44" s="78"/>
      <c r="M44" s="78"/>
      <c r="N44" s="78"/>
      <c r="O44" s="78"/>
      <c r="P44" s="78"/>
      <c r="Q44" s="82"/>
      <c r="R44" s="85">
        <f>'Exh 9 Capital Forecasting'!$D$69*J44*(HLOOKUP(R$2,'Exh 4 Econ Indicators'!$B$2:$R$3,2,FALSE)/HLOOKUP(J$2,'Exh 4 Econ Indicators'!$B$2:$R$3,2,FALSE))</f>
        <v>761.18830699454747</v>
      </c>
      <c r="S44" s="78"/>
      <c r="T44" s="78"/>
    </row>
    <row r="45" spans="1:20" ht="14.1" customHeight="1" x14ac:dyDescent="0.25">
      <c r="A45" s="73"/>
      <c r="B45" s="73" t="s">
        <v>49</v>
      </c>
      <c r="C45" s="73"/>
      <c r="D45" s="73"/>
      <c r="E45" s="78"/>
      <c r="F45" s="78"/>
      <c r="G45" s="78"/>
      <c r="H45" s="78"/>
      <c r="I45" s="78"/>
      <c r="J45" s="77"/>
      <c r="K45" s="83">
        <v>1048.2444318075131</v>
      </c>
      <c r="L45" s="83">
        <v>1758.0566057168182</v>
      </c>
      <c r="M45" s="83">
        <v>2212.2900096349267</v>
      </c>
      <c r="N45" s="83">
        <v>2905.3454629650828</v>
      </c>
      <c r="O45" s="82">
        <f>'Exh 10 Forecast Parameters'!$B$7*'Exh 5 Stores IS'!O44</f>
        <v>3388.9761240480002</v>
      </c>
      <c r="P45" s="82">
        <f>'Exh 10 Forecast Parameters'!$B$7*'Exh 5 Stores IS'!P44</f>
        <v>3539.5652781200729</v>
      </c>
      <c r="Q45" s="82">
        <f>'Exh 10 Forecast Parameters'!$B$7*'Exh 5 Stores IS'!Q44</f>
        <v>3649.5891252251572</v>
      </c>
      <c r="R45" s="82">
        <f>'Exh 10 Forecast Parameters'!$B$7*'Exh 5 Stores IS'!R44</f>
        <v>3759.3724157010547</v>
      </c>
      <c r="S45" s="82">
        <f>'Exh 10 Forecast Parameters'!$B$7*'Exh 5 Stores IS'!S44</f>
        <v>3868.68744680481</v>
      </c>
      <c r="T45" s="82">
        <f>'Exh 10 Forecast Parameters'!$B$7*'Exh 5 Stores IS'!T44</f>
        <v>3977.3008468738544</v>
      </c>
    </row>
    <row r="46" spans="1:20" ht="14.1" customHeight="1" x14ac:dyDescent="0.25">
      <c r="A46" s="73"/>
      <c r="B46" s="73" t="s">
        <v>11</v>
      </c>
      <c r="C46" s="73"/>
      <c r="D46" s="73"/>
      <c r="E46" s="78"/>
      <c r="F46" s="78"/>
      <c r="G46" s="78"/>
      <c r="H46" s="78"/>
      <c r="I46" s="78"/>
      <c r="J46" s="83">
        <v>1028.4497751161671</v>
      </c>
      <c r="K46" s="83">
        <v>1711.2587519317417</v>
      </c>
      <c r="L46" s="83">
        <v>2146.8287065625996</v>
      </c>
      <c r="M46" s="83">
        <v>1727.2529835747157</v>
      </c>
      <c r="N46" s="83">
        <v>1911.3442801161673</v>
      </c>
      <c r="O46" s="82">
        <f>'Exh 10 Forecast Parameters'!$B$8*'Exh 5 Stores IS'!P45</f>
        <v>2074.8407280298666</v>
      </c>
      <c r="P46" s="82">
        <f>'Exh 10 Forecast Parameters'!$B$8*'Exh 5 Stores IS'!Q45</f>
        <v>2139.3350772199469</v>
      </c>
      <c r="Q46" s="82">
        <f>'Exh 10 Forecast Parameters'!$B$8*'Exh 5 Stores IS'!R45</f>
        <v>2203.6884156777996</v>
      </c>
      <c r="R46" s="82">
        <f>'Exh 10 Forecast Parameters'!$B$8*'Exh 5 Stores IS'!S45</f>
        <v>2267.7672674288783</v>
      </c>
      <c r="S46" s="82">
        <f>'Exh 10 Forecast Parameters'!$B$8*'Exh 5 Stores IS'!T45</f>
        <v>2331.4348334619444</v>
      </c>
      <c r="T46" s="82">
        <f>'Exh 10 Forecast Parameters'!$B$8*'Exh 5 Stores IS'!U45</f>
        <v>2394.551437273426</v>
      </c>
    </row>
    <row r="47" spans="1:20" ht="14.1" customHeight="1" x14ac:dyDescent="0.25">
      <c r="A47" s="73"/>
      <c r="B47" s="73" t="s">
        <v>50</v>
      </c>
      <c r="C47" s="73"/>
      <c r="D47" s="73"/>
      <c r="E47" s="78"/>
      <c r="F47" s="78"/>
      <c r="G47" s="78"/>
      <c r="H47" s="78"/>
      <c r="I47" s="78"/>
      <c r="J47" s="83">
        <v>349.01325018211611</v>
      </c>
      <c r="K47" s="83">
        <v>546.89215682001702</v>
      </c>
      <c r="L47" s="83">
        <v>661.90547960822551</v>
      </c>
      <c r="M47" s="83">
        <v>586.37762469378663</v>
      </c>
      <c r="N47" s="83">
        <v>689.77390402889978</v>
      </c>
      <c r="O47" s="82">
        <f>'Exh 10 Forecast Parameters'!$B$9*'Exh 5 Stores IS'!P45</f>
        <v>710.50218207745434</v>
      </c>
      <c r="P47" s="82">
        <f>'Exh 10 Forecast Parameters'!$B$9*'Exh 5 Stores IS'!Q45</f>
        <v>732.58743190514986</v>
      </c>
      <c r="Q47" s="82">
        <f>'Exh 10 Forecast Parameters'!$B$9*'Exh 5 Stores IS'!R45</f>
        <v>754.62439444428867</v>
      </c>
      <c r="R47" s="82">
        <f>'Exh 10 Forecast Parameters'!$B$9*'Exh 5 Stores IS'!S45</f>
        <v>776.56736258593958</v>
      </c>
      <c r="S47" s="82">
        <f>'Exh 10 Forecast Parameters'!$B$9*'Exh 5 Stores IS'!T45</f>
        <v>798.36949129053983</v>
      </c>
      <c r="T47" s="82">
        <f>'Exh 10 Forecast Parameters'!$B$9*'Exh 5 Stores IS'!U45</f>
        <v>819.98295015875726</v>
      </c>
    </row>
    <row r="48" spans="1:20" ht="14.1" customHeight="1" x14ac:dyDescent="0.25">
      <c r="A48" s="73"/>
      <c r="B48" s="73" t="s">
        <v>51</v>
      </c>
      <c r="C48" s="73"/>
      <c r="D48" s="73"/>
      <c r="E48" s="78"/>
      <c r="F48" s="78"/>
      <c r="G48" s="78"/>
      <c r="H48" s="78"/>
      <c r="I48" s="78"/>
      <c r="J48" s="83">
        <v>43.129934599190022</v>
      </c>
      <c r="K48" s="83">
        <v>72.016599024526613</v>
      </c>
      <c r="L48" s="83">
        <v>88.413090304768062</v>
      </c>
      <c r="M48" s="83">
        <v>93.522962204259343</v>
      </c>
      <c r="N48" s="83">
        <v>101.26460008115897</v>
      </c>
      <c r="O48" s="82">
        <f>'Exh 10 Forecast Parameters'!$B$10*('Exh 5 Stores IS'!P46+'Exh 5 Stores IS'!P47)</f>
        <v>109.07104857021855</v>
      </c>
      <c r="P48" s="82">
        <f>'Exh 10 Forecast Parameters'!$B$10*('Exh 5 Stores IS'!Q46+'Exh 5 Stores IS'!Q47)</f>
        <v>112.46141304397523</v>
      </c>
      <c r="Q48" s="82">
        <f>'Exh 10 Forecast Parameters'!$B$10*('Exh 5 Stores IS'!R46+'Exh 5 Stores IS'!R47)</f>
        <v>115.84436480975103</v>
      </c>
      <c r="R48" s="82">
        <f>'Exh 10 Forecast Parameters'!$B$10*('Exh 5 Stores IS'!S46+'Exh 5 Stores IS'!S47)</f>
        <v>119.21288724968896</v>
      </c>
      <c r="S48" s="82">
        <f>'Exh 10 Forecast Parameters'!$B$10*('Exh 5 Stores IS'!T46+'Exh 5 Stores IS'!T47)</f>
        <v>122.55978905922397</v>
      </c>
      <c r="T48" s="82">
        <f>'Exh 10 Forecast Parameters'!$B$10*('Exh 5 Stores IS'!U46+'Exh 5 Stores IS'!U47)</f>
        <v>125.87772766863527</v>
      </c>
    </row>
    <row r="49" spans="1:20" ht="14.1" hidden="1" customHeight="1" x14ac:dyDescent="0.25">
      <c r="A49" s="73"/>
      <c r="B49" s="73"/>
      <c r="C49" s="73"/>
      <c r="D49" s="73"/>
      <c r="E49" s="78"/>
      <c r="F49" s="78"/>
      <c r="G49" s="78"/>
      <c r="H49" s="78"/>
      <c r="I49" s="78"/>
      <c r="J49" s="78"/>
      <c r="K49" s="78"/>
      <c r="L49" s="78"/>
      <c r="M49" s="78"/>
      <c r="N49" s="78"/>
      <c r="O49" s="78"/>
      <c r="P49" s="78"/>
      <c r="Q49" s="78"/>
      <c r="R49" s="78"/>
      <c r="S49" s="78"/>
      <c r="T49" s="78"/>
    </row>
    <row r="50" spans="1:20" ht="14.1" hidden="1" customHeight="1" x14ac:dyDescent="0.25">
      <c r="A50" s="76"/>
      <c r="B50" s="73"/>
      <c r="C50" s="73"/>
      <c r="D50" s="73"/>
      <c r="E50" s="78"/>
      <c r="F50" s="78"/>
      <c r="G50" s="78"/>
      <c r="H50" s="78"/>
      <c r="I50" s="78"/>
      <c r="J50" s="78"/>
      <c r="K50" s="78"/>
      <c r="L50" s="78"/>
      <c r="M50" s="78"/>
      <c r="N50" s="78"/>
      <c r="O50" s="78"/>
      <c r="P50" s="78"/>
      <c r="Q50" s="78"/>
      <c r="R50" s="78"/>
      <c r="S50" s="78"/>
      <c r="T50" s="78"/>
    </row>
    <row r="51" spans="1:20" ht="14.1" customHeight="1" x14ac:dyDescent="0.25">
      <c r="A51" s="79">
        <v>2009</v>
      </c>
      <c r="B51" s="79"/>
      <c r="C51" s="80">
        <f>'Exh 5 Stores IS'!C51</f>
        <v>1</v>
      </c>
      <c r="D51" s="81">
        <f>'Exh 5 Stores IS'!D51</f>
        <v>14500</v>
      </c>
      <c r="E51" s="84"/>
      <c r="F51" s="84"/>
      <c r="G51" s="84"/>
      <c r="H51" s="84"/>
      <c r="I51" s="84"/>
      <c r="J51" s="84"/>
      <c r="K51" s="84">
        <v>0</v>
      </c>
      <c r="L51" s="84">
        <v>1</v>
      </c>
      <c r="M51" s="84">
        <v>2</v>
      </c>
      <c r="N51" s="84">
        <v>3</v>
      </c>
      <c r="O51" s="84">
        <v>4</v>
      </c>
      <c r="P51" s="84">
        <v>5</v>
      </c>
      <c r="Q51" s="84">
        <v>6</v>
      </c>
      <c r="R51" s="84">
        <v>7</v>
      </c>
      <c r="S51" s="84">
        <v>8</v>
      </c>
      <c r="T51" s="84">
        <v>9</v>
      </c>
    </row>
    <row r="52" spans="1:20" ht="14.1" customHeight="1" x14ac:dyDescent="0.25">
      <c r="A52" s="73"/>
      <c r="B52" s="73" t="s">
        <v>48</v>
      </c>
      <c r="C52" s="73"/>
      <c r="D52" s="73"/>
      <c r="E52" s="78"/>
      <c r="F52" s="78"/>
      <c r="G52" s="78"/>
      <c r="H52" s="78"/>
      <c r="I52" s="78"/>
      <c r="J52" s="78"/>
      <c r="K52" s="83">
        <v>394</v>
      </c>
      <c r="L52" s="82"/>
      <c r="M52" s="78"/>
      <c r="N52" s="78"/>
      <c r="O52" s="78"/>
      <c r="P52" s="78"/>
      <c r="Q52" s="78"/>
      <c r="R52" s="82"/>
      <c r="S52" s="85">
        <f>'Exh 9 Capital Forecasting'!$D$69*K52*(HLOOKUP(S$2,'Exh 4 Econ Indicators'!$B$2:$S$8,2,FALSE)/HLOOKUP(K$2,'Exh 4 Econ Indicators'!$B$2:$S$8,2,FALSE))</f>
        <v>323.11826531466755</v>
      </c>
      <c r="T52" s="78"/>
    </row>
    <row r="53" spans="1:20" ht="14.1" customHeight="1" x14ac:dyDescent="0.25">
      <c r="A53" s="73"/>
      <c r="B53" s="73" t="s">
        <v>49</v>
      </c>
      <c r="C53" s="73"/>
      <c r="D53" s="73"/>
      <c r="E53" s="78"/>
      <c r="F53" s="78"/>
      <c r="G53" s="78"/>
      <c r="H53" s="78"/>
      <c r="I53" s="78"/>
      <c r="J53" s="78"/>
      <c r="K53" s="77"/>
      <c r="L53" s="83">
        <v>484.17755852974977</v>
      </c>
      <c r="M53" s="83">
        <v>840.23216219238236</v>
      </c>
      <c r="N53" s="83">
        <v>1190.5836489530589</v>
      </c>
      <c r="O53" s="82">
        <f>'Exh 10 Forecast Parameters'!$B$7*'Exh 5 Stores IS'!O52</f>
        <v>1451.9432693880003</v>
      </c>
      <c r="P53" s="82">
        <f>'Exh 10 Forecast Parameters'!$B$7*'Exh 5 Stores IS'!P52</f>
        <v>1638.9724377476764</v>
      </c>
      <c r="Q53" s="82">
        <f>'Exh 10 Forecast Parameters'!$B$7*'Exh 5 Stores IS'!Q52</f>
        <v>1710.1366209946805</v>
      </c>
      <c r="R53" s="82">
        <f>'Exh 10 Forecast Parameters'!$B$7*'Exh 5 Stores IS'!R52</f>
        <v>1761.5792406908211</v>
      </c>
      <c r="S53" s="82">
        <f>'Exh 10 Forecast Parameters'!$B$7*'Exh 5 Stores IS'!S52</f>
        <v>1812.8024418516286</v>
      </c>
      <c r="T53" s="82">
        <f>'Exh 10 Forecast Parameters'!$B$7*'Exh 5 Stores IS'!T52</f>
        <v>1863.6968704066128</v>
      </c>
    </row>
    <row r="54" spans="1:20" ht="14.1" customHeight="1" x14ac:dyDescent="0.25">
      <c r="A54" s="73"/>
      <c r="B54" s="73" t="s">
        <v>11</v>
      </c>
      <c r="C54" s="73"/>
      <c r="D54" s="73"/>
      <c r="E54" s="78"/>
      <c r="F54" s="78"/>
      <c r="G54" s="78"/>
      <c r="H54" s="78"/>
      <c r="I54" s="78"/>
      <c r="J54" s="78"/>
      <c r="K54" s="83">
        <v>487.56234852734559</v>
      </c>
      <c r="L54" s="83">
        <v>882.0019620406257</v>
      </c>
      <c r="M54" s="83">
        <v>880.67784307026375</v>
      </c>
      <c r="N54" s="83">
        <v>822.82414300439677</v>
      </c>
      <c r="O54" s="82">
        <f>'Exh 10 Forecast Parameters'!$B$8*'Exh 5 Stores IS'!P53</f>
        <v>960.74136193453603</v>
      </c>
      <c r="P54" s="82">
        <f>'Exh 10 Forecast Parameters'!$B$8*'Exh 5 Stores IS'!Q53</f>
        <v>1002.4567518697336</v>
      </c>
      <c r="Q54" s="82">
        <f>'Exh 10 Forecast Parameters'!$B$8*'Exh 5 Stores IS'!R53</f>
        <v>1032.6116534227269</v>
      </c>
      <c r="R54" s="82">
        <f>'Exh 10 Forecast Parameters'!$B$8*'Exh 5 Stores IS'!S53</f>
        <v>1062.6379350809527</v>
      </c>
      <c r="S54" s="82">
        <f>'Exh 10 Forecast Parameters'!$B$8*'Exh 5 Stores IS'!T53</f>
        <v>1092.4714951083506</v>
      </c>
      <c r="T54" s="82">
        <f>'Exh 10 Forecast Parameters'!$B$8*'Exh 5 Stores IS'!U53</f>
        <v>1122.0468834239236</v>
      </c>
    </row>
    <row r="55" spans="1:20" ht="14.1" customHeight="1" x14ac:dyDescent="0.25">
      <c r="A55" s="73"/>
      <c r="B55" s="73" t="s">
        <v>50</v>
      </c>
      <c r="C55" s="73"/>
      <c r="D55" s="73"/>
      <c r="E55" s="78"/>
      <c r="F55" s="78"/>
      <c r="G55" s="78"/>
      <c r="H55" s="78"/>
      <c r="I55" s="78"/>
      <c r="J55" s="78"/>
      <c r="K55" s="83">
        <v>171.2136094979941</v>
      </c>
      <c r="L55" s="83">
        <v>261.21017425890295</v>
      </c>
      <c r="M55" s="83">
        <v>326.51553763398488</v>
      </c>
      <c r="N55" s="83">
        <v>281.13974887651392</v>
      </c>
      <c r="O55" s="82">
        <f>'Exh 10 Forecast Parameters'!$B$9*'Exh 5 Stores IS'!P53</f>
        <v>328.99336553640626</v>
      </c>
      <c r="P55" s="82">
        <f>'Exh 10 Forecast Parameters'!$B$9*'Exh 5 Stores IS'!Q53</f>
        <v>343.27825746799704</v>
      </c>
      <c r="Q55" s="82">
        <f>'Exh 10 Forecast Parameters'!$B$9*'Exh 5 Stores IS'!R53</f>
        <v>353.6044107308918</v>
      </c>
      <c r="R55" s="82">
        <f>'Exh 10 Forecast Parameters'!$B$9*'Exh 5 Stores IS'!S53</f>
        <v>363.88651978612461</v>
      </c>
      <c r="S55" s="82">
        <f>'Exh 10 Forecast Parameters'!$B$9*'Exh 5 Stores IS'!T53</f>
        <v>374.10263382912007</v>
      </c>
      <c r="T55" s="82">
        <f>'Exh 10 Forecast Parameters'!$B$9*'Exh 5 Stores IS'!U53</f>
        <v>384.23034033214191</v>
      </c>
    </row>
    <row r="56" spans="1:20" ht="14.1" customHeight="1" x14ac:dyDescent="0.25">
      <c r="A56" s="73"/>
      <c r="B56" s="73" t="s">
        <v>51</v>
      </c>
      <c r="C56" s="73"/>
      <c r="D56" s="73"/>
      <c r="E56" s="78"/>
      <c r="F56" s="78"/>
      <c r="G56" s="78"/>
      <c r="H56" s="78"/>
      <c r="I56" s="78"/>
      <c r="J56" s="78"/>
      <c r="K56" s="83">
        <v>21.452626934163952</v>
      </c>
      <c r="L56" s="83">
        <v>33.771423842653505</v>
      </c>
      <c r="M56" s="83">
        <v>43.458631382504841</v>
      </c>
      <c r="N56" s="83">
        <v>43.726889225731888</v>
      </c>
      <c r="O56" s="82">
        <f>'Exh 10 Forecast Parameters'!$B$10*('Exh 5 Stores IS'!P54+'Exh 5 Stores IS'!P55)</f>
        <v>50.50463215578025</v>
      </c>
      <c r="P56" s="82">
        <f>'Exh 10 Forecast Parameters'!$B$10*('Exh 5 Stores IS'!Q54+'Exh 5 Stores IS'!Q55)</f>
        <v>52.697543283984231</v>
      </c>
      <c r="Q56" s="82">
        <f>'Exh 10 Forecast Parameters'!$B$10*('Exh 5 Stores IS'!R54+'Exh 5 Stores IS'!R55)</f>
        <v>54.282738083509749</v>
      </c>
      <c r="R56" s="82">
        <f>'Exh 10 Forecast Parameters'!$B$10*('Exh 5 Stores IS'!S54+'Exh 5 Stores IS'!S55)</f>
        <v>55.861171541502038</v>
      </c>
      <c r="S56" s="82">
        <f>'Exh 10 Forecast Parameters'!$B$10*('Exh 5 Stores IS'!T54+'Exh 5 Stores IS'!T55)</f>
        <v>57.429473932529703</v>
      </c>
      <c r="T56" s="82">
        <f>'Exh 10 Forecast Parameters'!$B$10*('Exh 5 Stores IS'!U54+'Exh 5 Stores IS'!U55)</f>
        <v>58.984204650831138</v>
      </c>
    </row>
    <row r="57" spans="1:20" ht="14.1" hidden="1" customHeight="1" x14ac:dyDescent="0.25">
      <c r="A57" s="73"/>
      <c r="B57" s="73"/>
      <c r="C57" s="73"/>
      <c r="D57" s="73"/>
      <c r="E57" s="78"/>
      <c r="F57" s="78"/>
      <c r="G57" s="78"/>
      <c r="H57" s="78"/>
      <c r="I57" s="78"/>
      <c r="J57" s="78"/>
      <c r="K57" s="78"/>
      <c r="L57" s="78"/>
      <c r="M57" s="78"/>
      <c r="N57" s="78"/>
      <c r="O57" s="78"/>
      <c r="P57" s="78"/>
      <c r="Q57" s="78"/>
      <c r="R57" s="78"/>
      <c r="S57" s="78"/>
      <c r="T57" s="78"/>
    </row>
    <row r="58" spans="1:20" ht="14.1" hidden="1" customHeight="1" x14ac:dyDescent="0.25">
      <c r="A58" s="76"/>
      <c r="B58" s="73"/>
      <c r="C58" s="73"/>
      <c r="D58" s="73"/>
      <c r="E58" s="78"/>
      <c r="F58" s="78"/>
      <c r="G58" s="78"/>
      <c r="H58" s="78"/>
      <c r="I58" s="78"/>
      <c r="J58" s="78"/>
      <c r="K58" s="78"/>
      <c r="L58" s="78"/>
      <c r="M58" s="78"/>
      <c r="N58" s="78"/>
      <c r="O58" s="78"/>
      <c r="P58" s="78"/>
      <c r="Q58" s="78"/>
      <c r="R58" s="78"/>
      <c r="S58" s="78"/>
      <c r="T58" s="78"/>
    </row>
    <row r="59" spans="1:20" ht="14.1" customHeight="1" x14ac:dyDescent="0.25">
      <c r="A59" s="79">
        <v>2010</v>
      </c>
      <c r="B59" s="79"/>
      <c r="C59" s="80">
        <f>'Exh 5 Stores IS'!C59</f>
        <v>2</v>
      </c>
      <c r="D59" s="81">
        <f>'Exh 5 Stores IS'!D59</f>
        <v>14700</v>
      </c>
      <c r="E59" s="84"/>
      <c r="F59" s="84"/>
      <c r="G59" s="84"/>
      <c r="H59" s="84"/>
      <c r="I59" s="84"/>
      <c r="J59" s="84"/>
      <c r="K59" s="84"/>
      <c r="L59" s="84">
        <v>0</v>
      </c>
      <c r="M59" s="84">
        <v>1</v>
      </c>
      <c r="N59" s="84">
        <v>2</v>
      </c>
      <c r="O59" s="84">
        <v>3</v>
      </c>
      <c r="P59" s="84">
        <v>4</v>
      </c>
      <c r="Q59" s="84">
        <v>5</v>
      </c>
      <c r="R59" s="84">
        <v>6</v>
      </c>
      <c r="S59" s="84">
        <v>7</v>
      </c>
      <c r="T59" s="84">
        <v>8</v>
      </c>
    </row>
    <row r="60" spans="1:20" ht="14.1" customHeight="1" x14ac:dyDescent="0.25">
      <c r="A60" s="73"/>
      <c r="B60" s="73" t="s">
        <v>48</v>
      </c>
      <c r="C60" s="73"/>
      <c r="D60" s="73"/>
      <c r="E60" s="78"/>
      <c r="F60" s="78"/>
      <c r="G60" s="78"/>
      <c r="H60" s="78"/>
      <c r="I60" s="78"/>
      <c r="J60" s="78"/>
      <c r="K60" s="78"/>
      <c r="L60" s="83">
        <v>752</v>
      </c>
      <c r="M60" s="82"/>
      <c r="N60" s="78"/>
      <c r="O60" s="78"/>
      <c r="P60" s="78"/>
      <c r="Q60" s="78"/>
      <c r="R60" s="78"/>
      <c r="S60" s="82"/>
      <c r="T60" s="85">
        <f>'Exh 9 Capital Forecasting'!$D$69*L60*(HLOOKUP(T$2,'Exh 4 Econ Indicators'!$B$2:$S$8,2,FALSE)/HLOOKUP(L$2,'Exh 4 Econ Indicators'!$B$2:$S$8,2,FALSE))</f>
        <v>621.41772900922444</v>
      </c>
    </row>
    <row r="61" spans="1:20" ht="14.1" customHeight="1" x14ac:dyDescent="0.25">
      <c r="A61" s="73"/>
      <c r="B61" s="73" t="s">
        <v>49</v>
      </c>
      <c r="C61" s="73"/>
      <c r="D61" s="73"/>
      <c r="E61" s="78"/>
      <c r="F61" s="78"/>
      <c r="G61" s="78"/>
      <c r="H61" s="78"/>
      <c r="I61" s="78"/>
      <c r="J61" s="78"/>
      <c r="K61" s="78"/>
      <c r="L61" s="77"/>
      <c r="M61" s="83">
        <v>956.18518263926796</v>
      </c>
      <c r="N61" s="83">
        <v>1787.0119219050603</v>
      </c>
      <c r="O61" s="82">
        <f>'Exh 10 Forecast Parameters'!$B$7*'Exh 5 Stores IS'!O60</f>
        <v>2361.2358600000002</v>
      </c>
      <c r="P61" s="82">
        <f>'Exh 10 Forecast Parameters'!$B$7*'Exh 5 Stores IS'!P60</f>
        <v>2986.11567922626</v>
      </c>
      <c r="Q61" s="82">
        <f>'Exh 10 Forecast Parameters'!$B$7*'Exh 5 Stores IS'!Q60</f>
        <v>3367.4904293143213</v>
      </c>
      <c r="R61" s="82">
        <f>'Exh 10 Forecast Parameters'!$B$7*'Exh 5 Stores IS'!R60</f>
        <v>3510.2888609693946</v>
      </c>
      <c r="S61" s="82">
        <f>'Exh 10 Forecast Parameters'!$B$7*'Exh 5 Stores IS'!S60</f>
        <v>3612.3610404686624</v>
      </c>
      <c r="T61" s="82">
        <f>'Exh 10 Forecast Parameters'!$B$7*'Exh 5 Stores IS'!T60</f>
        <v>3713.7780766798192</v>
      </c>
    </row>
    <row r="62" spans="1:20" ht="14.1" customHeight="1" x14ac:dyDescent="0.25">
      <c r="A62" s="73"/>
      <c r="B62" s="73" t="s">
        <v>11</v>
      </c>
      <c r="C62" s="73"/>
      <c r="D62" s="73"/>
      <c r="E62" s="78"/>
      <c r="F62" s="78"/>
      <c r="G62" s="78"/>
      <c r="H62" s="78"/>
      <c r="I62" s="78"/>
      <c r="J62" s="78"/>
      <c r="K62" s="78"/>
      <c r="L62" s="83">
        <v>1013.0219789083174</v>
      </c>
      <c r="M62" s="83">
        <v>1787.4615278807826</v>
      </c>
      <c r="N62" s="83">
        <v>1912.6851051651058</v>
      </c>
      <c r="O62" s="82">
        <f>'Exh 10 Forecast Parameters'!$B$8*'Exh 5 Stores IS'!P61</f>
        <v>1750.4167724116303</v>
      </c>
      <c r="P62" s="82">
        <f>'Exh 10 Forecast Parameters'!$B$8*'Exh 5 Stores IS'!Q61</f>
        <v>1973.9730009169543</v>
      </c>
      <c r="Q62" s="82">
        <f>'Exh 10 Forecast Parameters'!$B$8*'Exh 5 Stores IS'!R61</f>
        <v>2057.6793260208369</v>
      </c>
      <c r="R62" s="82">
        <f>'Exh 10 Forecast Parameters'!$B$8*'Exh 5 Stores IS'!S61</f>
        <v>2117.5125254628711</v>
      </c>
      <c r="S62" s="82">
        <f>'Exh 10 Forecast Parameters'!$B$8*'Exh 5 Stores IS'!T61</f>
        <v>2176.9616896152406</v>
      </c>
      <c r="T62" s="82">
        <f>'Exh 10 Forecast Parameters'!$B$8*'Exh 5 Stores IS'!U61</f>
        <v>2235.8963964765044</v>
      </c>
    </row>
    <row r="63" spans="1:20" ht="14.1" customHeight="1" x14ac:dyDescent="0.25">
      <c r="A63" s="73"/>
      <c r="B63" s="73" t="s">
        <v>50</v>
      </c>
      <c r="C63" s="73"/>
      <c r="D63" s="73"/>
      <c r="E63" s="78"/>
      <c r="F63" s="78"/>
      <c r="G63" s="78"/>
      <c r="H63" s="78"/>
      <c r="I63" s="78"/>
      <c r="J63" s="78"/>
      <c r="K63" s="78"/>
      <c r="L63" s="83">
        <v>348.1970378799416</v>
      </c>
      <c r="M63" s="83">
        <v>576.56192086894293</v>
      </c>
      <c r="N63" s="83">
        <v>682.93824529116239</v>
      </c>
      <c r="O63" s="82">
        <f>'Exh 10 Forecast Parameters'!$B$9*'Exh 5 Stores IS'!P61</f>
        <v>599.40742416616752</v>
      </c>
      <c r="P63" s="82">
        <f>'Exh 10 Forecast Parameters'!$B$9*'Exh 5 Stores IS'!Q61</f>
        <v>675.96134275097393</v>
      </c>
      <c r="Q63" s="82">
        <f>'Exh 10 Forecast Parameters'!$B$9*'Exh 5 Stores IS'!R61</f>
        <v>704.62548349032875</v>
      </c>
      <c r="R63" s="82">
        <f>'Exh 10 Forecast Parameters'!$B$9*'Exh 5 Stores IS'!S61</f>
        <v>725.11458329926052</v>
      </c>
      <c r="S63" s="82">
        <f>'Exh 10 Forecast Parameters'!$B$9*'Exh 5 Stores IS'!T61</f>
        <v>745.4721752253871</v>
      </c>
      <c r="T63" s="82">
        <f>'Exh 10 Forecast Parameters'!$B$9*'Exh 5 Stores IS'!U61</f>
        <v>765.65359795308882</v>
      </c>
    </row>
    <row r="64" spans="1:20" ht="14.1" customHeight="1" x14ac:dyDescent="0.25">
      <c r="A64" s="73"/>
      <c r="B64" s="73" t="s">
        <v>51</v>
      </c>
      <c r="C64" s="73"/>
      <c r="D64" s="73"/>
      <c r="E64" s="78"/>
      <c r="F64" s="78"/>
      <c r="G64" s="78"/>
      <c r="H64" s="78"/>
      <c r="I64" s="78"/>
      <c r="J64" s="78"/>
      <c r="K64" s="78"/>
      <c r="L64" s="83">
        <v>44.384121429354821</v>
      </c>
      <c r="M64" s="83">
        <v>70.987097654280774</v>
      </c>
      <c r="N64" s="83">
        <v>90.88595342549138</v>
      </c>
      <c r="O64" s="82">
        <f>'Exh 10 Forecast Parameters'!$B$10*('Exh 5 Stores IS'!P62+'Exh 5 Stores IS'!P63)</f>
        <v>92.016601670972179</v>
      </c>
      <c r="P64" s="82">
        <f>'Exh 10 Forecast Parameters'!$B$10*('Exh 5 Stores IS'!Q62+'Exh 5 Stores IS'!Q63)</f>
        <v>103.76859396998205</v>
      </c>
      <c r="Q64" s="82">
        <f>'Exh 10 Forecast Parameters'!$B$10*('Exh 5 Stores IS'!R62+'Exh 5 Stores IS'!R63)</f>
        <v>108.16890119727911</v>
      </c>
      <c r="R64" s="82">
        <f>'Exh 10 Forecast Parameters'!$B$10*('Exh 5 Stores IS'!S62+'Exh 5 Stores IS'!S63)</f>
        <v>111.3142365062936</v>
      </c>
      <c r="S64" s="82">
        <f>'Exh 10 Forecast Parameters'!$B$10*('Exh 5 Stores IS'!T62+'Exh 5 Stores IS'!T63)</f>
        <v>114.43938369620777</v>
      </c>
      <c r="T64" s="82">
        <f>'Exh 10 Forecast Parameters'!$B$10*('Exh 5 Stores IS'!U62+'Exh 5 Stores IS'!U63)</f>
        <v>117.53748669163149</v>
      </c>
    </row>
    <row r="65" spans="1:22" ht="14.1" hidden="1" customHeight="1" x14ac:dyDescent="0.25">
      <c r="A65" s="73"/>
      <c r="B65" s="73"/>
      <c r="C65" s="73"/>
      <c r="D65" s="73"/>
      <c r="E65" s="78"/>
      <c r="F65" s="78"/>
      <c r="G65" s="78"/>
      <c r="H65" s="78"/>
      <c r="I65" s="78"/>
      <c r="J65" s="78"/>
      <c r="K65" s="78"/>
      <c r="L65" s="78"/>
      <c r="M65" s="78"/>
      <c r="N65" s="78"/>
      <c r="O65" s="78"/>
      <c r="P65" s="78"/>
      <c r="Q65" s="78"/>
      <c r="R65" s="78"/>
      <c r="S65" s="78"/>
      <c r="T65" s="78"/>
    </row>
    <row r="66" spans="1:22" ht="14.1" hidden="1" customHeight="1" x14ac:dyDescent="0.25">
      <c r="A66" s="76"/>
      <c r="B66" s="73"/>
      <c r="C66" s="73"/>
      <c r="D66" s="73"/>
      <c r="E66" s="78"/>
      <c r="F66" s="78"/>
      <c r="G66" s="78"/>
      <c r="H66" s="78"/>
      <c r="I66" s="78"/>
      <c r="J66" s="78"/>
      <c r="K66" s="78"/>
      <c r="L66" s="78"/>
      <c r="M66" s="78"/>
      <c r="N66" s="78"/>
      <c r="O66" s="78"/>
      <c r="P66" s="78"/>
      <c r="Q66" s="78"/>
      <c r="R66" s="78"/>
      <c r="S66" s="78"/>
      <c r="T66" s="78"/>
    </row>
    <row r="67" spans="1:22" ht="14.1" customHeight="1" x14ac:dyDescent="0.25">
      <c r="A67" s="79">
        <v>2011</v>
      </c>
      <c r="B67" s="79"/>
      <c r="C67" s="80">
        <f>'Exh 5 Stores IS'!C67</f>
        <v>2</v>
      </c>
      <c r="D67" s="81">
        <f>'Exh 5 Stores IS'!D67</f>
        <v>15400</v>
      </c>
      <c r="E67" s="84"/>
      <c r="F67" s="84"/>
      <c r="G67" s="84"/>
      <c r="H67" s="84"/>
      <c r="I67" s="84"/>
      <c r="J67" s="84"/>
      <c r="K67" s="84"/>
      <c r="L67" s="84"/>
      <c r="M67" s="84">
        <v>0</v>
      </c>
      <c r="N67" s="84">
        <v>1</v>
      </c>
      <c r="O67" s="84">
        <v>2</v>
      </c>
      <c r="P67" s="84">
        <v>3</v>
      </c>
      <c r="Q67" s="84">
        <v>4</v>
      </c>
      <c r="R67" s="84">
        <v>5</v>
      </c>
      <c r="S67" s="84">
        <v>6</v>
      </c>
      <c r="T67" s="84">
        <v>7</v>
      </c>
    </row>
    <row r="68" spans="1:22" ht="14.1" customHeight="1" x14ac:dyDescent="0.25">
      <c r="A68" s="73"/>
      <c r="B68" s="73" t="s">
        <v>48</v>
      </c>
      <c r="C68" s="73"/>
      <c r="D68" s="73"/>
      <c r="E68" s="78"/>
      <c r="F68" s="78"/>
      <c r="G68" s="78"/>
      <c r="H68" s="78"/>
      <c r="I68" s="78"/>
      <c r="J68" s="78"/>
      <c r="K68" s="78"/>
      <c r="L68" s="78"/>
      <c r="M68" s="83">
        <v>798</v>
      </c>
      <c r="N68" s="82"/>
      <c r="O68" s="78"/>
      <c r="P68" s="78"/>
      <c r="Q68" s="78"/>
      <c r="R68" s="78"/>
      <c r="S68" s="78"/>
      <c r="T68" s="82"/>
      <c r="U68" s="55"/>
    </row>
    <row r="69" spans="1:22" ht="14.1" customHeight="1" x14ac:dyDescent="0.25">
      <c r="A69" s="73"/>
      <c r="B69" s="73" t="s">
        <v>49</v>
      </c>
      <c r="C69" s="73"/>
      <c r="D69" s="73"/>
      <c r="E69" s="78"/>
      <c r="F69" s="78"/>
      <c r="G69" s="78"/>
      <c r="H69" s="78"/>
      <c r="I69" s="78"/>
      <c r="J69" s="78"/>
      <c r="K69" s="78"/>
      <c r="L69" s="78"/>
      <c r="M69" s="77"/>
      <c r="N69" s="83">
        <v>1092.7778123173291</v>
      </c>
      <c r="O69" s="82">
        <f>'Exh 10 Forecast Parameters'!$B$7*'Exh 5 Stores IS'!O68</f>
        <v>1904.8728923279998</v>
      </c>
      <c r="P69" s="82">
        <f>'Exh 10 Forecast Parameters'!$B$7*'Exh 5 Stores IS'!P68</f>
        <v>2616.7524652843581</v>
      </c>
      <c r="Q69" s="82">
        <f>'Exh 10 Forecast Parameters'!$B$7*'Exh 5 Stores IS'!Q68</f>
        <v>3306.0364656698416</v>
      </c>
      <c r="R69" s="82">
        <f>'Exh 10 Forecast Parameters'!$B$7*'Exh 5 Stores IS'!R68</f>
        <v>3724.6434969164911</v>
      </c>
      <c r="S69" s="82">
        <f>'Exh 10 Forecast Parameters'!$B$7*'Exh 5 Stores IS'!S68</f>
        <v>3878.8064912538648</v>
      </c>
      <c r="T69" s="82">
        <f>'Exh 10 Forecast Parameters'!$B$7*'Exh 5 Stores IS'!T68</f>
        <v>3987.7039834958159</v>
      </c>
    </row>
    <row r="70" spans="1:22" ht="14.1" customHeight="1" x14ac:dyDescent="0.25">
      <c r="A70" s="73"/>
      <c r="B70" s="73" t="s">
        <v>11</v>
      </c>
      <c r="C70" s="73"/>
      <c r="D70" s="73"/>
      <c r="E70" s="78"/>
      <c r="F70" s="78"/>
      <c r="G70" s="78"/>
      <c r="H70" s="78"/>
      <c r="I70" s="78"/>
      <c r="J70" s="78"/>
      <c r="K70" s="78"/>
      <c r="L70" s="78"/>
      <c r="M70" s="83">
        <v>1066.8787061633195</v>
      </c>
      <c r="N70" s="83">
        <v>1794.8611189255691</v>
      </c>
      <c r="O70" s="82">
        <f>'Exh 10 Forecast Parameters'!$B$8*'Exh 5 Stores IS'!P69</f>
        <v>2160.5329799171272</v>
      </c>
      <c r="P70" s="82">
        <f>'Exh 10 Forecast Parameters'!$B$8*'Exh 5 Stores IS'!Q69</f>
        <v>1937.9495978576513</v>
      </c>
      <c r="Q70" s="82">
        <f>'Exh 10 Forecast Parameters'!$B$8*'Exh 5 Stores IS'!R69</f>
        <v>2183.330837988789</v>
      </c>
      <c r="R70" s="82">
        <f>'Exh 10 Forecast Parameters'!$B$8*'Exh 5 Stores IS'!S69</f>
        <v>2273.698901373145</v>
      </c>
      <c r="S70" s="82">
        <f>'Exh 10 Forecast Parameters'!$B$8*'Exh 5 Stores IS'!T69</f>
        <v>2337.5329980291954</v>
      </c>
      <c r="T70" s="82">
        <f>'Exh 10 Forecast Parameters'!$B$8*'Exh 5 Stores IS'!U69</f>
        <v>2400.8146913518417</v>
      </c>
    </row>
    <row r="71" spans="1:22" ht="14.1" customHeight="1" x14ac:dyDescent="0.25">
      <c r="A71" s="73"/>
      <c r="B71" s="73" t="s">
        <v>50</v>
      </c>
      <c r="C71" s="73"/>
      <c r="D71" s="73"/>
      <c r="E71" s="78"/>
      <c r="F71" s="78"/>
      <c r="G71" s="78"/>
      <c r="H71" s="78"/>
      <c r="I71" s="78"/>
      <c r="J71" s="78"/>
      <c r="K71" s="78"/>
      <c r="L71" s="78"/>
      <c r="M71" s="83">
        <v>386.7297486349317</v>
      </c>
      <c r="N71" s="83">
        <v>622.93194619864028</v>
      </c>
      <c r="O71" s="82">
        <f>'Exh 10 Forecast Parameters'!$B$9*'Exh 5 Stores IS'!P69</f>
        <v>739.84637757666337</v>
      </c>
      <c r="P71" s="82">
        <f>'Exh 10 Forecast Parameters'!$B$9*'Exh 5 Stores IS'!Q69</f>
        <v>663.62559758570831</v>
      </c>
      <c r="Q71" s="82">
        <f>'Exh 10 Forecast Parameters'!$B$9*'Exh 5 Stores IS'!R69</f>
        <v>747.65320712641312</v>
      </c>
      <c r="R71" s="82">
        <f>'Exh 10 Forecast Parameters'!$B$9*'Exh 5 Stores IS'!S69</f>
        <v>778.59857336937534</v>
      </c>
      <c r="S71" s="82">
        <f>'Exh 10 Forecast Parameters'!$B$9*'Exh 5 Stores IS'!T69</f>
        <v>800.45772831672036</v>
      </c>
      <c r="T71" s="82">
        <f>'Exh 10 Forecast Parameters'!$B$9*'Exh 5 Stores IS'!U69</f>
        <v>822.12771993771048</v>
      </c>
    </row>
    <row r="72" spans="1:22" ht="14.1" customHeight="1" x14ac:dyDescent="0.25">
      <c r="A72" s="73"/>
      <c r="B72" s="73" t="s">
        <v>51</v>
      </c>
      <c r="C72" s="73"/>
      <c r="D72" s="73"/>
      <c r="E72" s="78"/>
      <c r="F72" s="78"/>
      <c r="G72" s="78"/>
      <c r="H72" s="78"/>
      <c r="I72" s="78"/>
      <c r="J72" s="78"/>
      <c r="K72" s="78"/>
      <c r="L72" s="78"/>
      <c r="M72" s="83">
        <v>47.104073716376433</v>
      </c>
      <c r="N72" s="83">
        <v>75.763416290654604</v>
      </c>
      <c r="O72" s="82">
        <f>'Exh 10 Forecast Parameters'!$B$10*('Exh 5 Stores IS'!P70+'Exh 5 Stores IS'!P71)</f>
        <v>98.85509313296464</v>
      </c>
      <c r="P72" s="82">
        <f>'Exh 10 Forecast Parameters'!$B$10*('Exh 5 Stores IS'!Q70+'Exh 5 Stores IS'!Q71)</f>
        <v>101.87490146064107</v>
      </c>
      <c r="Q72" s="82">
        <f>'Exh 10 Forecast Parameters'!$B$10*('Exh 5 Stores IS'!R70+'Exh 5 Stores IS'!R71)</f>
        <v>114.77419960868596</v>
      </c>
      <c r="R72" s="82">
        <f>'Exh 10 Forecast Parameters'!$B$10*('Exh 5 Stores IS'!S70+'Exh 5 Stores IS'!S71)</f>
        <v>119.52470373048946</v>
      </c>
      <c r="S72" s="82">
        <f>'Exh 10 Forecast Parameters'!$B$10*('Exh 5 Stores IS'!T70+'Exh 5 Stores IS'!T71)</f>
        <v>122.88035978772292</v>
      </c>
      <c r="T72" s="82">
        <f>'Exh 10 Forecast Parameters'!$B$10*('Exh 5 Stores IS'!U70+'Exh 5 Stores IS'!U71)</f>
        <v>126.20697688789613</v>
      </c>
    </row>
    <row r="73" spans="1:22" ht="14.1" hidden="1" customHeight="1" x14ac:dyDescent="0.25">
      <c r="A73" s="73"/>
      <c r="B73" s="73"/>
      <c r="C73" s="73"/>
      <c r="D73" s="73"/>
      <c r="E73" s="78"/>
      <c r="F73" s="78"/>
      <c r="G73" s="78"/>
      <c r="H73" s="78"/>
      <c r="I73" s="78"/>
      <c r="J73" s="78"/>
      <c r="K73" s="78"/>
      <c r="L73" s="78"/>
      <c r="M73" s="78"/>
      <c r="N73" s="78"/>
      <c r="O73" s="78"/>
      <c r="P73" s="78"/>
      <c r="Q73" s="78"/>
      <c r="R73" s="78"/>
      <c r="S73" s="78"/>
      <c r="T73" s="78"/>
    </row>
    <row r="74" spans="1:22" ht="14.1" hidden="1" customHeight="1" x14ac:dyDescent="0.25">
      <c r="A74" s="76"/>
      <c r="B74" s="73"/>
      <c r="C74" s="73"/>
      <c r="D74" s="73"/>
      <c r="E74" s="78"/>
      <c r="F74" s="78"/>
      <c r="G74" s="78"/>
      <c r="H74" s="78"/>
      <c r="I74" s="78"/>
      <c r="J74" s="78"/>
      <c r="K74" s="78"/>
      <c r="L74" s="78"/>
      <c r="M74" s="78"/>
      <c r="N74" s="78"/>
      <c r="O74" s="78"/>
      <c r="P74" s="78"/>
      <c r="Q74" s="78"/>
      <c r="R74" s="78"/>
      <c r="S74" s="78"/>
      <c r="T74" s="78"/>
    </row>
    <row r="75" spans="1:22" ht="14.1" customHeight="1" x14ac:dyDescent="0.25">
      <c r="A75" s="79">
        <v>2012</v>
      </c>
      <c r="B75" s="79"/>
      <c r="C75" s="80">
        <f>'Exh 5 Stores IS'!C75</f>
        <v>3</v>
      </c>
      <c r="D75" s="81">
        <f>'Exh 5 Stores IS'!D75</f>
        <v>16300</v>
      </c>
      <c r="E75" s="84"/>
      <c r="F75" s="84"/>
      <c r="G75" s="84"/>
      <c r="H75" s="84"/>
      <c r="I75" s="84"/>
      <c r="J75" s="84"/>
      <c r="K75" s="84"/>
      <c r="L75" s="84"/>
      <c r="M75" s="84"/>
      <c r="N75" s="84">
        <v>0</v>
      </c>
      <c r="O75" s="84">
        <v>1</v>
      </c>
      <c r="P75" s="84">
        <v>2</v>
      </c>
      <c r="Q75" s="84">
        <v>3</v>
      </c>
      <c r="R75" s="84">
        <v>4</v>
      </c>
      <c r="S75" s="84">
        <v>5</v>
      </c>
      <c r="T75" s="84">
        <v>6</v>
      </c>
    </row>
    <row r="76" spans="1:22" ht="14.1" customHeight="1" x14ac:dyDescent="0.25">
      <c r="A76" s="73"/>
      <c r="B76" s="73" t="s">
        <v>48</v>
      </c>
      <c r="C76" s="73"/>
      <c r="D76" s="73"/>
      <c r="E76" s="78"/>
      <c r="F76" s="78"/>
      <c r="G76" s="78"/>
      <c r="H76" s="78"/>
      <c r="I76" s="78"/>
      <c r="J76" s="78"/>
      <c r="K76" s="78"/>
      <c r="L76" s="78"/>
      <c r="M76" s="78"/>
      <c r="N76" s="83">
        <v>1293</v>
      </c>
      <c r="O76" s="82"/>
      <c r="P76" s="78"/>
      <c r="Q76" s="78"/>
      <c r="R76" s="78"/>
      <c r="S76" s="78"/>
      <c r="T76" s="78"/>
      <c r="U76" s="20"/>
      <c r="V76" s="55"/>
    </row>
    <row r="77" spans="1:22" ht="14.1" customHeight="1" x14ac:dyDescent="0.25">
      <c r="A77" s="73"/>
      <c r="B77" s="73" t="s">
        <v>49</v>
      </c>
      <c r="C77" s="73"/>
      <c r="D77" s="73"/>
      <c r="E77" s="78"/>
      <c r="F77" s="78"/>
      <c r="G77" s="78"/>
      <c r="H77" s="78"/>
      <c r="I77" s="78"/>
      <c r="J77" s="78"/>
      <c r="K77" s="78"/>
      <c r="L77" s="78"/>
      <c r="M77" s="78"/>
      <c r="N77" s="77"/>
      <c r="O77" s="82">
        <f>'Exh 10 Forecast Parameters'!$B$7*'Exh 5 Stores IS'!O76</f>
        <v>1742.796</v>
      </c>
      <c r="P77" s="82">
        <f>'Exh 10 Forecast Parameters'!$B$7*'Exh 5 Stores IS'!P76</f>
        <v>3052.2597169679993</v>
      </c>
      <c r="Q77" s="82">
        <f>'Exh 10 Forecast Parameters'!$B$7*'Exh 5 Stores IS'!Q76</f>
        <v>4188.860190372543</v>
      </c>
      <c r="R77" s="82">
        <f>'Exh 10 Forecast Parameters'!$B$7*'Exh 5 Stores IS'!R76</f>
        <v>5287.1081216649873</v>
      </c>
      <c r="S77" s="82">
        <f>'Exh 10 Forecast Parameters'!$B$7*'Exh 5 Stores IS'!S76</f>
        <v>5950.7565073126198</v>
      </c>
      <c r="T77" s="82">
        <f>'Exh 10 Forecast Parameters'!$B$7*'Exh 5 Stores IS'!T76</f>
        <v>6191.0183012953667</v>
      </c>
    </row>
    <row r="78" spans="1:22" ht="14.1" customHeight="1" x14ac:dyDescent="0.25">
      <c r="A78" s="73"/>
      <c r="B78" s="73" t="s">
        <v>11</v>
      </c>
      <c r="C78" s="73"/>
      <c r="D78" s="73"/>
      <c r="E78" s="78"/>
      <c r="F78" s="78"/>
      <c r="G78" s="78"/>
      <c r="H78" s="78"/>
      <c r="I78" s="78"/>
      <c r="J78" s="78"/>
      <c r="K78" s="78"/>
      <c r="L78" s="78"/>
      <c r="M78" s="78"/>
      <c r="N78" s="83">
        <v>1708.0318030571016</v>
      </c>
      <c r="O78" s="82">
        <f>'Exh 10 Forecast Parameters'!$B$8*'Exh 5 Stores IS'!P77</f>
        <v>2856.425226238583</v>
      </c>
      <c r="P78" s="82">
        <f>'Exh 10 Forecast Parameters'!$B$8*'Exh 5 Stores IS'!Q77</f>
        <v>3458.5505161942583</v>
      </c>
      <c r="Q78" s="82">
        <f>'Exh 10 Forecast Parameters'!$B$8*'Exh 5 Stores IS'!R77</f>
        <v>3099.2244533922867</v>
      </c>
      <c r="R78" s="82">
        <f>'Exh 10 Forecast Parameters'!$B$8*'Exh 5 Stores IS'!S77</f>
        <v>3488.2453052309938</v>
      </c>
      <c r="S78" s="82">
        <f>'Exh 10 Forecast Parameters'!$B$8*'Exh 5 Stores IS'!T77</f>
        <v>3629.0832094296948</v>
      </c>
      <c r="T78" s="82">
        <f>'Exh 10 Forecast Parameters'!$B$8*'Exh 5 Stores IS'!U77</f>
        <v>3727.3297500753752</v>
      </c>
    </row>
    <row r="79" spans="1:22" ht="14.1" customHeight="1" x14ac:dyDescent="0.25">
      <c r="A79" s="73"/>
      <c r="B79" s="73" t="s">
        <v>50</v>
      </c>
      <c r="C79" s="73"/>
      <c r="D79" s="73"/>
      <c r="E79" s="78"/>
      <c r="F79" s="78"/>
      <c r="G79" s="78"/>
      <c r="H79" s="78"/>
      <c r="I79" s="78"/>
      <c r="J79" s="78"/>
      <c r="K79" s="78"/>
      <c r="L79" s="78"/>
      <c r="M79" s="78"/>
      <c r="N79" s="83">
        <v>616.86850425444607</v>
      </c>
      <c r="O79" s="82">
        <f>'Exh 10 Forecast Parameters'!$B$9*'Exh 5 Stores IS'!P77</f>
        <v>978.1456131867418</v>
      </c>
      <c r="P79" s="82">
        <f>'Exh 10 Forecast Parameters'!$B$9*'Exh 5 Stores IS'!Q77</f>
        <v>1184.3355759236642</v>
      </c>
      <c r="Q79" s="82">
        <f>'Exh 10 Forecast Parameters'!$B$9*'Exh 5 Stores IS'!R77</f>
        <v>1061.2890460145857</v>
      </c>
      <c r="R79" s="82">
        <f>'Exh 10 Forecast Parameters'!$B$9*'Exh 5 Stores IS'!S77</f>
        <v>1194.5041696484288</v>
      </c>
      <c r="S79" s="82">
        <f>'Exh 10 Forecast Parameters'!$B$9*'Exh 5 Stores IS'!T77</f>
        <v>1242.7322754979839</v>
      </c>
      <c r="T79" s="82">
        <f>'Exh 10 Forecast Parameters'!$B$9*'Exh 5 Stores IS'!U77</f>
        <v>1276.3755236602651</v>
      </c>
    </row>
    <row r="80" spans="1:22" ht="14.1" customHeight="1" x14ac:dyDescent="0.25">
      <c r="A80" s="73"/>
      <c r="B80" s="73" t="s">
        <v>51</v>
      </c>
      <c r="C80" s="73"/>
      <c r="D80" s="73"/>
      <c r="E80" s="78"/>
      <c r="F80" s="78"/>
      <c r="G80" s="78"/>
      <c r="H80" s="78"/>
      <c r="I80" s="78"/>
      <c r="J80" s="78"/>
      <c r="K80" s="78"/>
      <c r="L80" s="78"/>
      <c r="M80" s="78"/>
      <c r="N80" s="83">
        <v>78.602493985012458</v>
      </c>
      <c r="O80" s="82">
        <f>'Exh 10 Forecast Parameters'!$B$10*('Exh 5 Stores IS'!P78+'Exh 5 Stores IS'!P79)</f>
        <v>122.99476192819198</v>
      </c>
      <c r="P80" s="82">
        <f>'Exh 10 Forecast Parameters'!$B$10*('Exh 5 Stores IS'!Q78+'Exh 5 Stores IS'!Q79)</f>
        <v>158.24582941407385</v>
      </c>
      <c r="Q80" s="82">
        <f>'Exh 10 Forecast Parameters'!$B$10*('Exh 5 Stores IS'!R78+'Exh 5 Stores IS'!R79)</f>
        <v>162.92125767500994</v>
      </c>
      <c r="R80" s="82">
        <f>'Exh 10 Forecast Parameters'!$B$10*('Exh 5 Stores IS'!S78+'Exh 5 Stores IS'!S79)</f>
        <v>183.37145978089259</v>
      </c>
      <c r="S80" s="82">
        <f>'Exh 10 Forecast Parameters'!$B$10*('Exh 5 Stores IS'!T78+'Exh 5 Stores IS'!T79)</f>
        <v>190.77508246954611</v>
      </c>
      <c r="T80" s="82">
        <f>'Exh 10 Forecast Parameters'!$B$10*('Exh 5 Stores IS'!U78+'Exh 5 Stores IS'!U79)</f>
        <v>195.93974550216163</v>
      </c>
    </row>
    <row r="81" spans="1:24" ht="14.1" hidden="1" customHeight="1" x14ac:dyDescent="0.25">
      <c r="A81" s="73"/>
      <c r="B81" s="73"/>
      <c r="C81" s="73"/>
      <c r="D81" s="73"/>
      <c r="E81" s="78"/>
      <c r="F81" s="78"/>
      <c r="G81" s="78"/>
      <c r="H81" s="78"/>
      <c r="I81" s="78"/>
      <c r="J81" s="78"/>
      <c r="K81" s="78"/>
      <c r="L81" s="78"/>
      <c r="M81" s="78"/>
      <c r="N81" s="78"/>
      <c r="O81" s="78"/>
      <c r="P81" s="78"/>
      <c r="Q81" s="78"/>
      <c r="R81" s="78"/>
      <c r="S81" s="78"/>
      <c r="T81" s="78"/>
    </row>
    <row r="82" spans="1:24" ht="14.1" hidden="1" customHeight="1" x14ac:dyDescent="0.25">
      <c r="A82" s="76"/>
      <c r="B82" s="73"/>
      <c r="C82" s="73"/>
      <c r="D82" s="73"/>
      <c r="E82" s="78"/>
      <c r="F82" s="78"/>
      <c r="G82" s="78"/>
      <c r="H82" s="78"/>
      <c r="I82" s="78"/>
      <c r="J82" s="78"/>
      <c r="K82" s="78"/>
      <c r="L82" s="78"/>
      <c r="M82" s="78"/>
      <c r="N82" s="78"/>
      <c r="O82" s="78"/>
      <c r="P82" s="78"/>
      <c r="Q82" s="78"/>
      <c r="R82" s="78"/>
      <c r="S82" s="78"/>
      <c r="T82" s="78"/>
    </row>
    <row r="83" spans="1:24" ht="14.1" customHeight="1" x14ac:dyDescent="0.25">
      <c r="A83" s="79">
        <v>2013</v>
      </c>
      <c r="B83" s="79"/>
      <c r="C83" s="80">
        <f>'Exh 5 Stores IS'!C83</f>
        <v>2</v>
      </c>
      <c r="D83" s="81">
        <f>'Exh 5 Stores IS'!D83</f>
        <v>16000</v>
      </c>
      <c r="E83" s="84"/>
      <c r="F83" s="84"/>
      <c r="G83" s="84"/>
      <c r="H83" s="84"/>
      <c r="I83" s="84"/>
      <c r="J83" s="84"/>
      <c r="K83" s="84"/>
      <c r="L83" s="84"/>
      <c r="M83" s="84"/>
      <c r="N83" s="84"/>
      <c r="O83" s="84">
        <v>0</v>
      </c>
      <c r="P83" s="84">
        <v>1</v>
      </c>
      <c r="Q83" s="84">
        <v>2</v>
      </c>
      <c r="R83" s="84">
        <v>3</v>
      </c>
      <c r="S83" s="84">
        <v>4</v>
      </c>
      <c r="T83" s="84">
        <v>5</v>
      </c>
    </row>
    <row r="84" spans="1:24" ht="14.1" customHeight="1" x14ac:dyDescent="0.25">
      <c r="A84" s="73"/>
      <c r="B84" s="73" t="s">
        <v>48</v>
      </c>
      <c r="C84" s="73"/>
      <c r="D84" s="73"/>
      <c r="E84" s="78"/>
      <c r="F84" s="78"/>
      <c r="G84" s="78"/>
      <c r="H84" s="78"/>
      <c r="I84" s="78"/>
      <c r="J84" s="78"/>
      <c r="K84" s="78"/>
      <c r="L84" s="78"/>
      <c r="M84" s="78"/>
      <c r="N84" s="78"/>
      <c r="O84" s="83">
        <f>$C83*$D83*($N$76/($C$75*$D$75))*(HLOOKUP(O$2,'Exh 4 Econ Indicators'!$B$2:$S$8,2,FALSE)/HLOOKUP(2012,'Exh 4 Econ Indicators'!$B$2:$S$8,2,FALSE))</f>
        <v>860.35003680981595</v>
      </c>
      <c r="P84" s="82"/>
      <c r="Q84" s="78"/>
      <c r="R84" s="78"/>
      <c r="S84" s="78"/>
      <c r="T84" s="78"/>
      <c r="U84" s="15"/>
      <c r="V84" s="20"/>
      <c r="W84" s="55"/>
      <c r="X84" s="42"/>
    </row>
    <row r="85" spans="1:24" ht="14.1" customHeight="1" x14ac:dyDescent="0.25">
      <c r="A85" s="73"/>
      <c r="B85" s="73" t="s">
        <v>49</v>
      </c>
      <c r="C85" s="73"/>
      <c r="D85" s="73"/>
      <c r="E85" s="78"/>
      <c r="F85" s="78"/>
      <c r="G85" s="78"/>
      <c r="H85" s="78"/>
      <c r="I85" s="78"/>
      <c r="J85" s="78"/>
      <c r="K85" s="78"/>
      <c r="L85" s="78"/>
      <c r="M85" s="78"/>
      <c r="N85" s="78"/>
      <c r="O85" s="78"/>
      <c r="P85" s="82">
        <f>'Exh 10 Forecast Parameters'!$B$7*'Exh 5 Stores IS'!P84</f>
        <v>1173.6576</v>
      </c>
      <c r="Q85" s="82">
        <f>'Exh 10 Forecast Parameters'!$B$7*'Exh 5 Stores IS'!Q84</f>
        <v>2053.4970617856002</v>
      </c>
      <c r="R85" s="82">
        <f>'Exh 10 Forecast Parameters'!$B$7*'Exh 5 Stores IS'!R84</f>
        <v>2815.4368790758376</v>
      </c>
      <c r="S85" s="82">
        <f>'Exh 10 Forecast Parameters'!$B$7*'Exh 5 Stores IS'!S84</f>
        <v>3550.136394418194</v>
      </c>
      <c r="T85" s="82">
        <f>'Exh 10 Forecast Parameters'!$B$7*'Exh 5 Stores IS'!T84</f>
        <v>3991.8621152936771</v>
      </c>
    </row>
    <row r="86" spans="1:24" ht="14.1" customHeight="1" x14ac:dyDescent="0.25">
      <c r="A86" s="73"/>
      <c r="B86" s="73" t="s">
        <v>11</v>
      </c>
      <c r="C86" s="73"/>
      <c r="D86" s="73"/>
      <c r="E86" s="78"/>
      <c r="F86" s="78"/>
      <c r="G86" s="78"/>
      <c r="H86" s="78"/>
      <c r="I86" s="78"/>
      <c r="J86" s="78"/>
      <c r="K86" s="78"/>
      <c r="L86" s="78"/>
      <c r="M86" s="78"/>
      <c r="N86" s="78"/>
      <c r="O86" s="82">
        <f>'Exh 10 Forecast Parameters'!$B$8*'Exh 5 Stores IS'!P85</f>
        <v>1222.5020415999998</v>
      </c>
      <c r="P86" s="82">
        <f>'Exh 10 Forecast Parameters'!$B$8*'Exh 5 Stores IS'!Q85</f>
        <v>1921.7436762288128</v>
      </c>
      <c r="Q86" s="82">
        <f>'Exh 10 Forecast Parameters'!$B$8*'Exh 5 Stores IS'!R85</f>
        <v>2324.5776246769615</v>
      </c>
      <c r="R86" s="82">
        <f>'Exh 10 Forecast Parameters'!$B$8*'Exh 5 Stores IS'!S85</f>
        <v>2081.0373597946946</v>
      </c>
      <c r="S86" s="82">
        <f>'Exh 10 Forecast Parameters'!$B$8*'Exh 5 Stores IS'!T85</f>
        <v>2339.9704332871493</v>
      </c>
      <c r="T86" s="82">
        <f>'Exh 10 Forecast Parameters'!$B$8*'Exh 5 Stores IS'!U85</f>
        <v>2432.0716695413312</v>
      </c>
    </row>
    <row r="87" spans="1:24" ht="14.1" customHeight="1" x14ac:dyDescent="0.25">
      <c r="A87" s="73"/>
      <c r="B87" s="73" t="s">
        <v>50</v>
      </c>
      <c r="C87" s="73"/>
      <c r="D87" s="73"/>
      <c r="E87" s="78"/>
      <c r="F87" s="78"/>
      <c r="G87" s="78"/>
      <c r="H87" s="78"/>
      <c r="I87" s="78"/>
      <c r="J87" s="78"/>
      <c r="K87" s="78"/>
      <c r="L87" s="78"/>
      <c r="M87" s="78"/>
      <c r="N87" s="78"/>
      <c r="O87" s="82">
        <f>'Exh 10 Forecast Parameters'!$B$9*'Exh 5 Stores IS'!P85</f>
        <v>418.62990079999997</v>
      </c>
      <c r="P87" s="82">
        <f>'Exh 10 Forecast Parameters'!$B$9*'Exh 5 Stores IS'!Q85</f>
        <v>658.07609080944644</v>
      </c>
      <c r="Q87" s="82">
        <f>'Exh 10 Forecast Parameters'!$B$9*'Exh 5 Stores IS'!R85</f>
        <v>796.02132945870744</v>
      </c>
      <c r="R87" s="82">
        <f>'Exh 10 Forecast Parameters'!$B$9*'Exh 5 Stores IS'!S85</f>
        <v>712.62413791288918</v>
      </c>
      <c r="S87" s="82">
        <f>'Exh 10 Forecast Parameters'!$B$9*'Exh 5 Stores IS'!T85</f>
        <v>801.29239627270033</v>
      </c>
      <c r="T87" s="82">
        <f>'Exh 10 Forecast Parameters'!$B$9*'Exh 5 Stores IS'!U85</f>
        <v>832.83126498999366</v>
      </c>
    </row>
    <row r="88" spans="1:24" ht="14.1" customHeight="1" x14ac:dyDescent="0.25">
      <c r="A88" s="73"/>
      <c r="B88" s="73" t="s">
        <v>51</v>
      </c>
      <c r="C88" s="73"/>
      <c r="D88" s="73"/>
      <c r="E88" s="78"/>
      <c r="F88" s="78"/>
      <c r="G88" s="78"/>
      <c r="H88" s="78"/>
      <c r="I88" s="78"/>
      <c r="J88" s="78"/>
      <c r="K88" s="78"/>
      <c r="L88" s="78"/>
      <c r="M88" s="78"/>
      <c r="N88" s="78"/>
      <c r="O88" s="82">
        <f>'Exh 10 Forecast Parameters'!$B$10*('Exh 5 Stores IS'!P86+'Exh 5 Stores IS'!P87)</f>
        <v>53.7274368</v>
      </c>
      <c r="P88" s="82">
        <f>'Exh 10 Forecast Parameters'!$B$10*('Exh 5 Stores IS'!Q86+'Exh 5 Stores IS'!Q87)</f>
        <v>82.748326045286404</v>
      </c>
      <c r="Q88" s="82">
        <f>'Exh 10 Forecast Parameters'!$B$10*('Exh 5 Stores IS'!R86+'Exh 5 Stores IS'!R87)</f>
        <v>106.3609487650872</v>
      </c>
      <c r="R88" s="82">
        <f>'Exh 10 Forecast Parameters'!$B$10*('Exh 5 Stores IS'!S86+'Exh 5 Stores IS'!S87)</f>
        <v>109.39679556133102</v>
      </c>
      <c r="S88" s="82">
        <f>'Exh 10 Forecast Parameters'!$B$10*('Exh 5 Stores IS'!T86+'Exh 5 Stores IS'!T87)</f>
        <v>123.00849184904962</v>
      </c>
      <c r="T88" s="82">
        <f>'Exh 10 Forecast Parameters'!$B$10*('Exh 5 Stores IS'!U86+'Exh 5 Stores IS'!U87)</f>
        <v>127.85010608822819</v>
      </c>
    </row>
    <row r="89" spans="1:24" ht="14.1" hidden="1" customHeight="1" x14ac:dyDescent="0.25">
      <c r="A89" s="73"/>
      <c r="B89" s="73"/>
      <c r="C89" s="73"/>
      <c r="D89" s="73"/>
      <c r="E89" s="78"/>
      <c r="F89" s="78"/>
      <c r="G89" s="78"/>
      <c r="H89" s="78"/>
      <c r="I89" s="78"/>
      <c r="J89" s="78"/>
      <c r="K89" s="78"/>
      <c r="L89" s="78"/>
      <c r="M89" s="78"/>
      <c r="N89" s="78"/>
      <c r="O89" s="78"/>
      <c r="P89" s="82"/>
      <c r="Q89" s="82"/>
      <c r="R89" s="82"/>
      <c r="S89" s="82"/>
      <c r="T89" s="82"/>
    </row>
    <row r="90" spans="1:24" ht="14.1" hidden="1" customHeight="1" x14ac:dyDescent="0.25">
      <c r="A90" s="73"/>
      <c r="B90" s="73"/>
      <c r="C90" s="73"/>
      <c r="D90" s="73"/>
      <c r="E90" s="78"/>
      <c r="F90" s="78"/>
      <c r="G90" s="78"/>
      <c r="H90" s="78"/>
      <c r="I90" s="78"/>
      <c r="J90" s="78"/>
      <c r="K90" s="78"/>
      <c r="L90" s="78"/>
      <c r="M90" s="78"/>
      <c r="N90" s="78"/>
      <c r="O90" s="78"/>
      <c r="P90" s="78"/>
      <c r="Q90" s="78"/>
      <c r="R90" s="78"/>
      <c r="S90" s="78"/>
      <c r="T90" s="78"/>
    </row>
    <row r="91" spans="1:24" ht="14.1" hidden="1" customHeight="1" x14ac:dyDescent="0.25">
      <c r="A91" s="76"/>
      <c r="B91" s="73"/>
      <c r="C91" s="73"/>
      <c r="D91" s="73"/>
      <c r="E91" s="78"/>
      <c r="F91" s="78"/>
      <c r="G91" s="78"/>
      <c r="H91" s="78"/>
      <c r="I91" s="78"/>
      <c r="J91" s="78"/>
      <c r="K91" s="78"/>
      <c r="L91" s="78"/>
      <c r="M91" s="78"/>
      <c r="N91" s="78"/>
      <c r="O91" s="78"/>
      <c r="P91" s="78"/>
      <c r="Q91" s="78"/>
      <c r="R91" s="78"/>
      <c r="S91" s="78"/>
      <c r="T91" s="78"/>
    </row>
    <row r="92" spans="1:24" ht="14.1" customHeight="1" x14ac:dyDescent="0.25">
      <c r="A92" s="79">
        <v>2014</v>
      </c>
      <c r="B92" s="79"/>
      <c r="C92" s="80">
        <f>'Exh 5 Stores IS'!C91</f>
        <v>2</v>
      </c>
      <c r="D92" s="81">
        <f>'Exh 5 Stores IS'!D91</f>
        <v>16000</v>
      </c>
      <c r="E92" s="84"/>
      <c r="F92" s="84"/>
      <c r="G92" s="84"/>
      <c r="H92" s="84"/>
      <c r="I92" s="84"/>
      <c r="J92" s="84"/>
      <c r="K92" s="84"/>
      <c r="L92" s="84"/>
      <c r="M92" s="84"/>
      <c r="N92" s="84"/>
      <c r="O92" s="84"/>
      <c r="P92" s="84">
        <v>0</v>
      </c>
      <c r="Q92" s="84">
        <v>1</v>
      </c>
      <c r="R92" s="84">
        <v>2</v>
      </c>
      <c r="S92" s="84">
        <v>3</v>
      </c>
      <c r="T92" s="84">
        <v>4</v>
      </c>
    </row>
    <row r="93" spans="1:24" ht="14.1" customHeight="1" x14ac:dyDescent="0.25">
      <c r="A93" s="73"/>
      <c r="B93" s="73" t="s">
        <v>48</v>
      </c>
      <c r="C93" s="73"/>
      <c r="D93" s="73"/>
      <c r="E93" s="78"/>
      <c r="F93" s="78"/>
      <c r="G93" s="78"/>
      <c r="H93" s="78"/>
      <c r="I93" s="78"/>
      <c r="J93" s="78"/>
      <c r="K93" s="78"/>
      <c r="L93" s="78"/>
      <c r="M93" s="78"/>
      <c r="N93" s="78"/>
      <c r="O93" s="78"/>
      <c r="P93" s="83">
        <f>$C92*$D92*($N$76/($C$75*$D$75))*(HLOOKUP(P$2,'Exh 4 Econ Indicators'!$B$2:$S$8,2,FALSE)/HLOOKUP(2012,'Exh 4 Econ Indicators'!$B$2:$S$8,2,FALSE))</f>
        <v>875.92237247607363</v>
      </c>
      <c r="Q93" s="82"/>
      <c r="R93" s="78"/>
      <c r="S93" s="78"/>
      <c r="T93" s="78"/>
      <c r="V93" s="9"/>
      <c r="X93" s="42"/>
    </row>
    <row r="94" spans="1:24" ht="14.1" customHeight="1" x14ac:dyDescent="0.25">
      <c r="A94" s="73"/>
      <c r="B94" s="73" t="s">
        <v>49</v>
      </c>
      <c r="C94" s="73"/>
      <c r="D94" s="73"/>
      <c r="E94" s="78"/>
      <c r="F94" s="78"/>
      <c r="G94" s="78"/>
      <c r="H94" s="78"/>
      <c r="I94" s="78"/>
      <c r="J94" s="78"/>
      <c r="K94" s="78"/>
      <c r="L94" s="78"/>
      <c r="M94" s="78"/>
      <c r="N94" s="78"/>
      <c r="O94" s="78"/>
      <c r="P94" s="78"/>
      <c r="Q94" s="82">
        <f>'Exh 10 Forecast Parameters'!$B$7*'Exh 5 Stores IS'!Q92</f>
        <v>1208.9087999999999</v>
      </c>
      <c r="R94" s="82">
        <f>'Exh 10 Forecast Parameters'!$B$7*'Exh 5 Stores IS'!R92</f>
        <v>2113.1169725951995</v>
      </c>
      <c r="S94" s="82">
        <f>'Exh 10 Forecast Parameters'!$B$7*'Exh 5 Stores IS'!S92</f>
        <v>2894.3574485333711</v>
      </c>
      <c r="T94" s="82">
        <f>'Exh 10 Forecast Parameters'!$B$7*'Exh 5 Stores IS'!T92</f>
        <v>3646.0944368537007</v>
      </c>
    </row>
    <row r="95" spans="1:24" ht="14.1" customHeight="1" x14ac:dyDescent="0.25">
      <c r="A95" s="73"/>
      <c r="B95" s="73" t="s">
        <v>11</v>
      </c>
      <c r="C95" s="73"/>
      <c r="D95" s="73"/>
      <c r="E95" s="78"/>
      <c r="F95" s="78"/>
      <c r="G95" s="78"/>
      <c r="H95" s="78"/>
      <c r="I95" s="78"/>
      <c r="J95" s="78"/>
      <c r="K95" s="78"/>
      <c r="L95" s="78"/>
      <c r="M95" s="78"/>
      <c r="N95" s="78"/>
      <c r="O95" s="78"/>
      <c r="P95" s="82">
        <f>'Exh 10 Forecast Parameters'!$B$8*'Exh 5 Stores IS'!Q93</f>
        <v>1259.2203007999999</v>
      </c>
      <c r="Q95" s="82">
        <f>'Exh 10 Forecast Parameters'!$B$8*'Exh 5 Stores IS'!R93</f>
        <v>1977.5383441189372</v>
      </c>
      <c r="R95" s="82">
        <f>'Exh 10 Forecast Parameters'!$B$8*'Exh 5 Stores IS'!S93</f>
        <v>2389.7387338643803</v>
      </c>
      <c r="S95" s="82">
        <f>'Exh 10 Forecast Parameters'!$B$8*'Exh 5 Stores IS'!T93</f>
        <v>2137.2865426697599</v>
      </c>
      <c r="T95" s="82">
        <f>'Exh 10 Forecast Parameters'!$B$8*'Exh 5 Stores IS'!U93</f>
        <v>2400.8738174041364</v>
      </c>
    </row>
    <row r="96" spans="1:24" ht="14.1" customHeight="1" x14ac:dyDescent="0.25">
      <c r="A96" s="73"/>
      <c r="B96" s="73" t="s">
        <v>50</v>
      </c>
      <c r="C96" s="73"/>
      <c r="D96" s="73"/>
      <c r="E96" s="78"/>
      <c r="F96" s="78"/>
      <c r="G96" s="78"/>
      <c r="H96" s="78"/>
      <c r="I96" s="78"/>
      <c r="J96" s="78"/>
      <c r="K96" s="78"/>
      <c r="L96" s="78"/>
      <c r="M96" s="78"/>
      <c r="N96" s="78"/>
      <c r="O96" s="78"/>
      <c r="P96" s="82">
        <f>'Exh 10 Forecast Parameters'!$B$9*'Exh 5 Stores IS'!Q93</f>
        <v>431.2035904</v>
      </c>
      <c r="Q96" s="82">
        <f>'Exh 10 Forecast Parameters'!$B$9*'Exh 5 Stores IS'!R93</f>
        <v>677.18224809114872</v>
      </c>
      <c r="R96" s="82">
        <f>'Exh 10 Forecast Parameters'!$B$9*'Exh 5 Stores IS'!S93</f>
        <v>818.33490256280254</v>
      </c>
      <c r="S96" s="82">
        <f>'Exh 10 Forecast Parameters'!$B$9*'Exh 5 Stores IS'!T93</f>
        <v>731.88593793103132</v>
      </c>
      <c r="T96" s="82">
        <f>'Exh 10 Forecast Parameters'!$B$9*'Exh 5 Stores IS'!U93</f>
        <v>822.1479668841896</v>
      </c>
    </row>
    <row r="97" spans="1:20" ht="14.1" customHeight="1" x14ac:dyDescent="0.25">
      <c r="A97" s="73"/>
      <c r="B97" s="73" t="s">
        <v>51</v>
      </c>
      <c r="C97" s="73"/>
      <c r="D97" s="73"/>
      <c r="E97" s="78"/>
      <c r="F97" s="78"/>
      <c r="G97" s="78"/>
      <c r="H97" s="78"/>
      <c r="I97" s="78"/>
      <c r="J97" s="78"/>
      <c r="K97" s="78"/>
      <c r="L97" s="78"/>
      <c r="M97" s="78"/>
      <c r="N97" s="78"/>
      <c r="O97" s="78"/>
      <c r="P97" s="82">
        <f>'Exh 10 Forecast Parameters'!$B$10*('Exh 5 Stores IS'!Q94+'Exh 5 Stores IS'!Q95)</f>
        <v>55.341158399999998</v>
      </c>
      <c r="Q97" s="82">
        <f>'Exh 10 Forecast Parameters'!$B$10*('Exh 5 Stores IS'!R94+'Exh 5 Stores IS'!R95)</f>
        <v>85.150787636428788</v>
      </c>
      <c r="R97" s="82">
        <f>'Exh 10 Forecast Parameters'!$B$10*('Exh 5 Stores IS'!S94+'Exh 5 Stores IS'!S95)</f>
        <v>109.34239250014956</v>
      </c>
      <c r="S97" s="82">
        <f>'Exh 10 Forecast Parameters'!$B$10*('Exh 5 Stores IS'!T94+'Exh 5 Stores IS'!T95)</f>
        <v>112.35372486897329</v>
      </c>
      <c r="T97" s="82">
        <f>'Exh 10 Forecast Parameters'!$B$10*('Exh 5 Stores IS'!U94+'Exh 5 Stores IS'!U95)</f>
        <v>126.21008504961404</v>
      </c>
    </row>
    <row r="98" spans="1:20" ht="14.1" hidden="1" customHeight="1" x14ac:dyDescent="0.25">
      <c r="A98" s="73"/>
      <c r="B98" s="73"/>
      <c r="C98" s="73"/>
      <c r="D98" s="73"/>
      <c r="E98" s="78"/>
      <c r="F98" s="78"/>
      <c r="G98" s="78"/>
      <c r="H98" s="78"/>
      <c r="I98" s="78"/>
      <c r="J98" s="78"/>
      <c r="K98" s="78"/>
      <c r="L98" s="78"/>
      <c r="M98" s="78"/>
      <c r="N98" s="78"/>
      <c r="O98" s="78"/>
      <c r="P98" s="78"/>
      <c r="Q98" s="82"/>
      <c r="R98" s="82"/>
      <c r="S98" s="82"/>
      <c r="T98" s="82"/>
    </row>
    <row r="99" spans="1:20" ht="14.1" hidden="1" customHeight="1" x14ac:dyDescent="0.25">
      <c r="A99" s="73"/>
      <c r="B99" s="73"/>
      <c r="C99" s="73"/>
      <c r="D99" s="73"/>
      <c r="E99" s="78"/>
      <c r="F99" s="78"/>
      <c r="G99" s="78"/>
      <c r="H99" s="78"/>
      <c r="I99" s="78"/>
      <c r="J99" s="78"/>
      <c r="K99" s="78"/>
      <c r="L99" s="78"/>
      <c r="M99" s="78"/>
      <c r="N99" s="78"/>
      <c r="O99" s="78"/>
      <c r="P99" s="78"/>
      <c r="Q99" s="78"/>
      <c r="R99" s="78"/>
      <c r="S99" s="78"/>
      <c r="T99" s="78"/>
    </row>
    <row r="100" spans="1:20" ht="14.1" hidden="1" customHeight="1" x14ac:dyDescent="0.25">
      <c r="A100" s="76"/>
      <c r="B100" s="73"/>
      <c r="C100" s="73"/>
      <c r="D100" s="73"/>
      <c r="E100" s="78"/>
      <c r="F100" s="78"/>
      <c r="G100" s="78"/>
      <c r="H100" s="78"/>
      <c r="I100" s="78"/>
      <c r="J100" s="78"/>
      <c r="K100" s="78"/>
      <c r="L100" s="78"/>
      <c r="M100" s="78"/>
      <c r="N100" s="78"/>
      <c r="O100" s="78"/>
      <c r="P100" s="78"/>
      <c r="Q100" s="78"/>
      <c r="R100" s="78"/>
      <c r="S100" s="78"/>
      <c r="T100" s="78"/>
    </row>
    <row r="101" spans="1:20" ht="14.1" customHeight="1" x14ac:dyDescent="0.25">
      <c r="A101" s="79">
        <v>2015</v>
      </c>
      <c r="B101" s="79"/>
      <c r="C101" s="80">
        <f>'Exh 5 Stores IS'!C99</f>
        <v>2</v>
      </c>
      <c r="D101" s="81">
        <f>'Exh 5 Stores IS'!D99</f>
        <v>15000</v>
      </c>
      <c r="E101" s="84"/>
      <c r="F101" s="84"/>
      <c r="G101" s="84"/>
      <c r="H101" s="84"/>
      <c r="I101" s="84"/>
      <c r="J101" s="84"/>
      <c r="K101" s="84"/>
      <c r="L101" s="84"/>
      <c r="M101" s="84"/>
      <c r="N101" s="84"/>
      <c r="O101" s="84"/>
      <c r="P101" s="84"/>
      <c r="Q101" s="84">
        <v>0</v>
      </c>
      <c r="R101" s="84">
        <v>1</v>
      </c>
      <c r="S101" s="84">
        <v>2</v>
      </c>
      <c r="T101" s="84">
        <v>3</v>
      </c>
    </row>
    <row r="102" spans="1:20" ht="14.1" customHeight="1" x14ac:dyDescent="0.25">
      <c r="A102" s="73"/>
      <c r="B102" s="73" t="s">
        <v>48</v>
      </c>
      <c r="C102" s="73"/>
      <c r="D102" s="73"/>
      <c r="E102" s="78"/>
      <c r="F102" s="78"/>
      <c r="G102" s="78"/>
      <c r="H102" s="78"/>
      <c r="I102" s="78"/>
      <c r="J102" s="78"/>
      <c r="K102" s="78"/>
      <c r="L102" s="78"/>
      <c r="M102" s="78"/>
      <c r="N102" s="78"/>
      <c r="O102" s="78"/>
      <c r="P102" s="78"/>
      <c r="Q102" s="83">
        <f>$C101*$D101*($N$76/($C$75*$D$75))*(HLOOKUP(Q$2,'Exh 4 Econ Indicators'!$B$2:$S$8,2,FALSE)/HLOOKUP(2012,'Exh 4 Econ Indicators'!$B$2:$S$8,2,FALSE))</f>
        <v>837.1080623457276</v>
      </c>
      <c r="R102" s="82"/>
      <c r="S102" s="78"/>
      <c r="T102" s="78"/>
    </row>
    <row r="103" spans="1:20" ht="14.1" customHeight="1" x14ac:dyDescent="0.25">
      <c r="A103" s="73"/>
      <c r="B103" s="73" t="s">
        <v>49</v>
      </c>
      <c r="C103" s="73"/>
      <c r="D103" s="73"/>
      <c r="E103" s="78"/>
      <c r="F103" s="78"/>
      <c r="G103" s="78"/>
      <c r="H103" s="78"/>
      <c r="I103" s="78"/>
      <c r="J103" s="78"/>
      <c r="K103" s="78"/>
      <c r="L103" s="78"/>
      <c r="M103" s="78"/>
      <c r="N103" s="78"/>
      <c r="O103" s="78"/>
      <c r="P103" s="78"/>
      <c r="Q103" s="78"/>
      <c r="R103" s="82">
        <f>'Exh 10 Forecast Parameters'!$B$7*'Exh 5 Stores IS'!R100</f>
        <v>1165.4280000000001</v>
      </c>
      <c r="S103" s="82">
        <f>'Exh 10 Forecast Parameters'!$B$7*'Exh 5 Stores IS'!S100</f>
        <v>2035.1309758560001</v>
      </c>
      <c r="T103" s="82">
        <f>'Exh 10 Forecast Parameters'!$B$7*'Exh 5 Stores IS'!T100</f>
        <v>2784.8223490869536</v>
      </c>
    </row>
    <row r="104" spans="1:20" ht="14.1" customHeight="1" x14ac:dyDescent="0.25">
      <c r="A104" s="73"/>
      <c r="B104" s="73" t="s">
        <v>11</v>
      </c>
      <c r="C104" s="73"/>
      <c r="D104" s="73"/>
      <c r="E104" s="78"/>
      <c r="F104" s="78"/>
      <c r="G104" s="78"/>
      <c r="H104" s="78"/>
      <c r="I104" s="78"/>
      <c r="J104" s="78"/>
      <c r="K104" s="78"/>
      <c r="L104" s="78"/>
      <c r="M104" s="78"/>
      <c r="N104" s="78"/>
      <c r="O104" s="78"/>
      <c r="P104" s="78"/>
      <c r="Q104" s="82">
        <f>'Exh 10 Forecast Parameters'!$B$8*'Exh 5 Stores IS'!R101</f>
        <v>1213.9299479999997</v>
      </c>
      <c r="R104" s="82">
        <f>'Exh 10 Forecast Parameters'!$B$8*'Exh 5 Stores IS'!S101</f>
        <v>1904.5559674421281</v>
      </c>
      <c r="S104" s="82">
        <f>'Exh 10 Forecast Parameters'!$B$8*'Exh 5 Stores IS'!T101</f>
        <v>2299.3006057066336</v>
      </c>
      <c r="T104" s="82">
        <f>'Exh 10 Forecast Parameters'!$B$8*'Exh 5 Stores IS'!U101</f>
        <v>2054.3960594602681</v>
      </c>
    </row>
    <row r="105" spans="1:20" ht="14.1" customHeight="1" x14ac:dyDescent="0.25">
      <c r="A105" s="73"/>
      <c r="B105" s="73" t="s">
        <v>50</v>
      </c>
      <c r="C105" s="73"/>
      <c r="D105" s="73"/>
      <c r="E105" s="78"/>
      <c r="F105" s="78"/>
      <c r="G105" s="78"/>
      <c r="H105" s="78"/>
      <c r="I105" s="78"/>
      <c r="J105" s="78"/>
      <c r="K105" s="78"/>
      <c r="L105" s="78"/>
      <c r="M105" s="78"/>
      <c r="N105" s="78"/>
      <c r="O105" s="78"/>
      <c r="P105" s="78"/>
      <c r="Q105" s="82">
        <f>'Exh 10 Forecast Parameters'!$B$9*'Exh 5 Stores IS'!R101</f>
        <v>415.69449899999995</v>
      </c>
      <c r="R105" s="82">
        <f>'Exh 10 Forecast Parameters'!$B$9*'Exh 5 Stores IS'!S101</f>
        <v>652.19038380896404</v>
      </c>
      <c r="S105" s="82">
        <f>'Exh 10 Forecast Parameters'!$B$9*'Exh 5 Stores IS'!T101</f>
        <v>787.36554355080102</v>
      </c>
      <c r="T105" s="82">
        <f>'Exh 10 Forecast Parameters'!$B$9*'Exh 5 Stores IS'!U101</f>
        <v>703.50117162189872</v>
      </c>
    </row>
    <row r="106" spans="1:20" ht="14.1" customHeight="1" x14ac:dyDescent="0.25">
      <c r="A106" s="73"/>
      <c r="B106" s="73" t="s">
        <v>51</v>
      </c>
      <c r="C106" s="73"/>
      <c r="D106" s="73"/>
      <c r="E106" s="78"/>
      <c r="F106" s="78"/>
      <c r="G106" s="78"/>
      <c r="H106" s="78"/>
      <c r="I106" s="78"/>
      <c r="J106" s="78"/>
      <c r="K106" s="78"/>
      <c r="L106" s="78"/>
      <c r="M106" s="78"/>
      <c r="N106" s="78"/>
      <c r="O106" s="78"/>
      <c r="P106" s="78"/>
      <c r="Q106" s="82">
        <f>'Exh 10 Forecast Parameters'!$B$10*('Exh 5 Stores IS'!R102+'Exh 5 Stores IS'!R103)</f>
        <v>53.350704</v>
      </c>
      <c r="R106" s="82">
        <f>'Exh 10 Forecast Parameters'!$B$10*('Exh 5 Stores IS'!S102+'Exh 5 Stores IS'!S103)</f>
        <v>82.008240804864002</v>
      </c>
      <c r="S106" s="82">
        <f>'Exh 10 Forecast Parameters'!$B$10*('Exh 5 Stores IS'!T102+'Exh 5 Stores IS'!T103)</f>
        <v>105.20439985439603</v>
      </c>
      <c r="T106" s="82">
        <f>'Exh 10 Forecast Parameters'!$B$10*('Exh 5 Stores IS'!U102+'Exh 5 Stores IS'!U103)</f>
        <v>107.99630514127399</v>
      </c>
    </row>
    <row r="107" spans="1:20" ht="15" customHeight="1" x14ac:dyDescent="0.25"/>
    <row r="108" spans="1:20" ht="15" customHeight="1" x14ac:dyDescent="0.25"/>
  </sheetData>
  <pageMargins left="0.7" right="0.7" top="0.75" bottom="0.75" header="0.3" footer="0.3"/>
  <pageSetup scale="62" fitToHeight="0"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heetViews>
  <sheetFormatPr defaultColWidth="8.85546875" defaultRowHeight="15" x14ac:dyDescent="0.25"/>
  <cols>
    <col min="1" max="1" width="5.7109375" customWidth="1"/>
    <col min="2" max="2" width="25.7109375" customWidth="1"/>
    <col min="3" max="12" width="9.140625" customWidth="1"/>
    <col min="16" max="16" width="14.140625" customWidth="1"/>
  </cols>
  <sheetData>
    <row r="1" spans="1:16" ht="18.75" x14ac:dyDescent="0.3">
      <c r="A1" s="12" t="s">
        <v>69</v>
      </c>
    </row>
    <row r="2" spans="1:16" x14ac:dyDescent="0.25">
      <c r="C2" s="4">
        <v>2003</v>
      </c>
      <c r="D2" s="4">
        <v>2004</v>
      </c>
      <c r="E2" s="4">
        <v>2005</v>
      </c>
      <c r="F2" s="4">
        <v>2006</v>
      </c>
      <c r="G2" s="4">
        <v>2007</v>
      </c>
      <c r="H2" s="4">
        <v>2008</v>
      </c>
      <c r="I2" s="4">
        <v>2009</v>
      </c>
      <c r="J2" s="4">
        <v>2010</v>
      </c>
      <c r="K2" s="4">
        <v>2011</v>
      </c>
      <c r="L2" s="4">
        <v>2012</v>
      </c>
    </row>
    <row r="3" spans="1:16" x14ac:dyDescent="0.25">
      <c r="B3" t="s">
        <v>0</v>
      </c>
      <c r="C3" s="16"/>
      <c r="D3" s="16">
        <f>'Exh 2 Teuer IS'!D3</f>
        <v>2056.5</v>
      </c>
      <c r="E3" s="16">
        <f>'Exh 2 Teuer IS'!E3</f>
        <v>10415</v>
      </c>
      <c r="F3" s="16">
        <f>'Exh 2 Teuer IS'!F3</f>
        <v>26700.600000000002</v>
      </c>
      <c r="G3" s="16">
        <f>'Exh 2 Teuer IS'!G3</f>
        <v>51539.6</v>
      </c>
      <c r="H3" s="16">
        <f>'Exh 2 Teuer IS'!H3</f>
        <v>79191</v>
      </c>
      <c r="I3" s="16">
        <f>'Exh 2 Teuer IS'!I3</f>
        <v>90679.700000000012</v>
      </c>
      <c r="J3" s="16">
        <f>'Exh 2 Teuer IS'!J3</f>
        <v>111451</v>
      </c>
      <c r="K3" s="16">
        <f>'Exh 2 Teuer IS'!K3</f>
        <v>134093.30000000002</v>
      </c>
      <c r="L3" s="16">
        <f>'Exh 2 Teuer IS'!L3</f>
        <v>148217.90000000002</v>
      </c>
    </row>
    <row r="4" spans="1:16" x14ac:dyDescent="0.25">
      <c r="B4" s="17" t="s">
        <v>39</v>
      </c>
      <c r="C4" s="16"/>
      <c r="D4" s="16">
        <f>SUM('Exh 2 Teuer IS'!D4:D9)</f>
        <v>-2600.3840685578748</v>
      </c>
      <c r="E4" s="16">
        <f>SUM('Exh 2 Teuer IS'!E4:E9)</f>
        <v>-12079.202269757388</v>
      </c>
      <c r="F4" s="16">
        <f>SUM('Exh 2 Teuer IS'!F4:F9)</f>
        <v>-29560.98743776144</v>
      </c>
      <c r="G4" s="16">
        <f>SUM('Exh 2 Teuer IS'!G4:G9)</f>
        <v>-53459.678227516473</v>
      </c>
      <c r="H4" s="16">
        <f>SUM('Exh 2 Teuer IS'!H4:H9)</f>
        <v>-78020.762401779997</v>
      </c>
      <c r="I4" s="16">
        <f>SUM('Exh 2 Teuer IS'!I4:I9)</f>
        <v>-84763.532716853253</v>
      </c>
      <c r="J4" s="16">
        <f>SUM('Exh 2 Teuer IS'!J4:J9)</f>
        <v>-89276.499941245216</v>
      </c>
      <c r="K4" s="16">
        <f>SUM('Exh 2 Teuer IS'!K4:K9)</f>
        <v>-100416.46371906491</v>
      </c>
      <c r="L4" s="16">
        <f>SUM('Exh 2 Teuer IS'!L4:L9)</f>
        <v>-111480.29433796919</v>
      </c>
    </row>
    <row r="5" spans="1:16" x14ac:dyDescent="0.25">
      <c r="B5" s="17" t="s">
        <v>40</v>
      </c>
      <c r="C5" s="13"/>
      <c r="D5" s="13">
        <f>'Exh 2 Teuer IS'!D12</f>
        <v>0</v>
      </c>
      <c r="E5" s="13">
        <f>'Exh 2 Teuer IS'!E12</f>
        <v>0</v>
      </c>
      <c r="F5" s="13">
        <f>'Exh 2 Teuer IS'!F12</f>
        <v>0</v>
      </c>
      <c r="G5" s="13">
        <f>'Exh 2 Teuer IS'!G12</f>
        <v>0</v>
      </c>
      <c r="H5" s="13">
        <f>'Exh 2 Teuer IS'!H12</f>
        <v>0</v>
      </c>
      <c r="I5" s="13">
        <f>'Exh 2 Teuer IS'!I12</f>
        <v>-39.141151109434304</v>
      </c>
      <c r="J5" s="13">
        <f>'Exh 2 Teuer IS'!J12</f>
        <v>-8869.8000235019226</v>
      </c>
      <c r="K5" s="13">
        <f>'Exh 2 Teuer IS'!K12</f>
        <v>-13470.734512374042</v>
      </c>
      <c r="L5" s="13">
        <f>'Exh 2 Teuer IS'!L12</f>
        <v>-14695.042264812339</v>
      </c>
    </row>
    <row r="6" spans="1:16" x14ac:dyDescent="0.25">
      <c r="B6" t="s">
        <v>18</v>
      </c>
      <c r="C6" s="8">
        <f>SUM(C3:C5)</f>
        <v>0</v>
      </c>
      <c r="D6" s="8">
        <f t="shared" ref="D6:L6" si="0">SUM(D3:D5)</f>
        <v>-543.8840685578748</v>
      </c>
      <c r="E6" s="8">
        <f t="shared" si="0"/>
        <v>-1664.2022697573884</v>
      </c>
      <c r="F6" s="8">
        <f t="shared" si="0"/>
        <v>-2860.3874377614375</v>
      </c>
      <c r="G6" s="8">
        <f t="shared" si="0"/>
        <v>-1920.0782275164747</v>
      </c>
      <c r="H6" s="8">
        <f t="shared" si="0"/>
        <v>1170.2375982200028</v>
      </c>
      <c r="I6" s="8">
        <f t="shared" si="0"/>
        <v>5877.0261320373247</v>
      </c>
      <c r="J6" s="8">
        <f t="shared" si="0"/>
        <v>13304.700035252861</v>
      </c>
      <c r="K6" s="8">
        <f t="shared" si="0"/>
        <v>20206.101768561068</v>
      </c>
      <c r="L6" s="8">
        <f t="shared" si="0"/>
        <v>22042.563397218499</v>
      </c>
    </row>
    <row r="7" spans="1:16" x14ac:dyDescent="0.25">
      <c r="B7" s="17" t="s">
        <v>76</v>
      </c>
      <c r="C7" s="8">
        <f>-('Exh 6 Stores BS'!E4+'Exh 6 Stores BS'!E12+'Exh 6 Stores BS'!E20+'Exh 6 Stores BS'!E28+'Exh 6 Stores BS'!E36+'Exh 6 Stores BS'!E44+'Exh 6 Stores BS'!E52+'Exh 6 Stores BS'!E60+'Exh 6 Stores BS'!E68+'Exh 6 Stores BS'!E76+'Exh 6 Stores BS'!E84+'Exh 6 Stores BS'!E93+'Exh 6 Stores BS'!E102)</f>
        <v>-358</v>
      </c>
      <c r="D7" s="8">
        <f>-('Exh 6 Stores BS'!F4+'Exh 6 Stores BS'!F12+'Exh 6 Stores BS'!F20+'Exh 6 Stores BS'!F28+'Exh 6 Stores BS'!F36+'Exh 6 Stores BS'!F44+'Exh 6 Stores BS'!F52+'Exh 6 Stores BS'!F60+'Exh 6 Stores BS'!F68+'Exh 6 Stores BS'!F76+'Exh 6 Stores BS'!F84+'Exh 6 Stores BS'!F93+'Exh 6 Stores BS'!F102)</f>
        <v>-1175</v>
      </c>
      <c r="E7" s="8">
        <f>-('Exh 6 Stores BS'!G4+'Exh 6 Stores BS'!G12+'Exh 6 Stores BS'!G20+'Exh 6 Stores BS'!G28+'Exh 6 Stores BS'!G36+'Exh 6 Stores BS'!G44+'Exh 6 Stores BS'!G52+'Exh 6 Stores BS'!G60+'Exh 6 Stores BS'!G68+'Exh 6 Stores BS'!G76+'Exh 6 Stores BS'!G84+'Exh 6 Stores BS'!G93+'Exh 6 Stores BS'!G102)</f>
        <v>-1814</v>
      </c>
      <c r="F7" s="8">
        <f>-('Exh 6 Stores BS'!H4+'Exh 6 Stores BS'!H12+'Exh 6 Stores BS'!H20+'Exh 6 Stores BS'!H28+'Exh 6 Stores BS'!H36+'Exh 6 Stores BS'!H44+'Exh 6 Stores BS'!H52+'Exh 6 Stores BS'!H60+'Exh 6 Stores BS'!H68+'Exh 6 Stores BS'!H76+'Exh 6 Stores BS'!H84+'Exh 6 Stores BS'!H93+'Exh 6 Stores BS'!H102)</f>
        <v>-2971</v>
      </c>
      <c r="G7" s="8">
        <f>-('Exh 6 Stores BS'!I4+'Exh 6 Stores BS'!I12+'Exh 6 Stores BS'!I20+'Exh 6 Stores BS'!I28+'Exh 6 Stores BS'!I36+'Exh 6 Stores BS'!I44+'Exh 6 Stores BS'!I52+'Exh 6 Stores BS'!I60+'Exh 6 Stores BS'!I68+'Exh 6 Stores BS'!I76+'Exh 6 Stores BS'!I84+'Exh 6 Stores BS'!I93+'Exh 6 Stores BS'!I102)</f>
        <v>-4058</v>
      </c>
      <c r="H7" s="8">
        <f>-('Exh 6 Stores BS'!J4+'Exh 6 Stores BS'!J12+'Exh 6 Stores BS'!J20+'Exh 6 Stores BS'!J28+'Exh 6 Stores BS'!J36+'Exh 6 Stores BS'!J44+'Exh 6 Stores BS'!J52+'Exh 6 Stores BS'!J60+'Exh 6 Stores BS'!J68+'Exh 6 Stores BS'!J76+'Exh 6 Stores BS'!J84+'Exh 6 Stores BS'!J93+'Exh 6 Stores BS'!J102)</f>
        <v>-924</v>
      </c>
      <c r="I7" s="8">
        <f>-('Exh 6 Stores BS'!K4+'Exh 6 Stores BS'!K12+'Exh 6 Stores BS'!K20+'Exh 6 Stores BS'!K28+'Exh 6 Stores BS'!K36+'Exh 6 Stores BS'!K44+'Exh 6 Stores BS'!K52+'Exh 6 Stores BS'!K60+'Exh 6 Stores BS'!K68+'Exh 6 Stores BS'!K76+'Exh 6 Stores BS'!K84+'Exh 6 Stores BS'!K93+'Exh 6 Stores BS'!K102)</f>
        <v>-394</v>
      </c>
      <c r="J7" s="8">
        <f>-('Exh 6 Stores BS'!L4+'Exh 6 Stores BS'!L12+'Exh 6 Stores BS'!L20+'Exh 6 Stores BS'!L28+'Exh 6 Stores BS'!L36+'Exh 6 Stores BS'!L44+'Exh 6 Stores BS'!L52+'Exh 6 Stores BS'!L60+'Exh 6 Stores BS'!L68+'Exh 6 Stores BS'!L76+'Exh 6 Stores BS'!L84+'Exh 6 Stores BS'!L93+'Exh 6 Stores BS'!L102)</f>
        <v>-752</v>
      </c>
      <c r="K7" s="8">
        <f>-('Exh 6 Stores BS'!M4+'Exh 6 Stores BS'!M12+'Exh 6 Stores BS'!M20+'Exh 6 Stores BS'!M28+'Exh 6 Stores BS'!M36+'Exh 6 Stores BS'!M44+'Exh 6 Stores BS'!M52+'Exh 6 Stores BS'!M60+'Exh 6 Stores BS'!M68+'Exh 6 Stores BS'!M76+'Exh 6 Stores BS'!M84+'Exh 6 Stores BS'!M93+'Exh 6 Stores BS'!M102)</f>
        <v>-1122.4000000000001</v>
      </c>
      <c r="L7" s="8">
        <f>-('Exh 6 Stores BS'!N4+'Exh 6 Stores BS'!N12+'Exh 6 Stores BS'!N20+'Exh 6 Stores BS'!N28+'Exh 6 Stores BS'!N36+'Exh 6 Stores BS'!N44+'Exh 6 Stores BS'!N52+'Exh 6 Stores BS'!N60+'Exh 6 Stores BS'!N68+'Exh 6 Stores BS'!N76+'Exh 6 Stores BS'!N84+'Exh 6 Stores BS'!N93+'Exh 6 Stores BS'!N102)</f>
        <v>-2228.6</v>
      </c>
    </row>
    <row r="8" spans="1:16" x14ac:dyDescent="0.25">
      <c r="B8" s="17" t="s">
        <v>41</v>
      </c>
      <c r="C8" s="8">
        <f>('Exh 5 Stores IS'!E8+'Exh 5 Stores IS'!E16+'Exh 5 Stores IS'!E24+'Exh 5 Stores IS'!E32+'Exh 5 Stores IS'!E40+'Exh 5 Stores IS'!E48+'Exh 5 Stores IS'!E56+'Exh 5 Stores IS'!E64+'Exh 5 Stores IS'!E72+'Exh 5 Stores IS'!E80+'Exh 5 Stores IS'!E88+'Exh 5 Stores IS'!E96+'Exh 5 Stores IS'!E104)</f>
        <v>0</v>
      </c>
      <c r="D8" s="8">
        <f>('Exh 5 Stores IS'!F8+'Exh 5 Stores IS'!F16+'Exh 5 Stores IS'!F24+'Exh 5 Stores IS'!F32+'Exh 5 Stores IS'!F40+'Exh 5 Stores IS'!F48+'Exh 5 Stores IS'!F56+'Exh 5 Stores IS'!F64+'Exh 5 Stores IS'!F72+'Exh 5 Stores IS'!F80+'Exh 5 Stores IS'!F88+'Exh 5 Stores IS'!F96+'Exh 5 Stores IS'!F104)</f>
        <v>89.5</v>
      </c>
      <c r="E8" s="8">
        <f>('Exh 5 Stores IS'!G8+'Exh 5 Stores IS'!G16+'Exh 5 Stores IS'!G24+'Exh 5 Stores IS'!G32+'Exh 5 Stores IS'!G40+'Exh 5 Stores IS'!G48+'Exh 5 Stores IS'!G56+'Exh 5 Stores IS'!G64+'Exh 5 Stores IS'!G72+'Exh 5 Stores IS'!G80+'Exh 5 Stores IS'!G88+'Exh 5 Stores IS'!G96+'Exh 5 Stores IS'!G104)</f>
        <v>383.25</v>
      </c>
      <c r="F8" s="8">
        <f>('Exh 5 Stores IS'!H8+'Exh 5 Stores IS'!H16+'Exh 5 Stores IS'!H24+'Exh 5 Stores IS'!H32+'Exh 5 Stores IS'!H40+'Exh 5 Stores IS'!H48+'Exh 5 Stores IS'!H56+'Exh 5 Stores IS'!H64+'Exh 5 Stores IS'!H72+'Exh 5 Stores IS'!H80+'Exh 5 Stores IS'!H88+'Exh 5 Stores IS'!H96+'Exh 5 Stores IS'!H104)</f>
        <v>836.75</v>
      </c>
      <c r="G8" s="8">
        <f>('Exh 5 Stores IS'!I8+'Exh 5 Stores IS'!I16+'Exh 5 Stores IS'!I24+'Exh 5 Stores IS'!I32+'Exh 5 Stores IS'!I40+'Exh 5 Stores IS'!I48+'Exh 5 Stores IS'!I56+'Exh 5 Stores IS'!I64+'Exh 5 Stores IS'!I72+'Exh 5 Stores IS'!I80+'Exh 5 Stores IS'!I88+'Exh 5 Stores IS'!I96+'Exh 5 Stores IS'!I104)</f>
        <v>1579.5</v>
      </c>
      <c r="H8" s="8">
        <f>('Exh 5 Stores IS'!J8+'Exh 5 Stores IS'!J16+'Exh 5 Stores IS'!J24+'Exh 5 Stores IS'!J32+'Exh 5 Stores IS'!J40+'Exh 5 Stores IS'!J48+'Exh 5 Stores IS'!J56+'Exh 5 Stores IS'!J64+'Exh 5 Stores IS'!J72+'Exh 5 Stores IS'!J80+'Exh 5 Stores IS'!J88+'Exh 5 Stores IS'!J96+'Exh 5 Stores IS'!J104)</f>
        <v>2504.5</v>
      </c>
      <c r="I8" s="8">
        <f>('Exh 5 Stores IS'!K8+'Exh 5 Stores IS'!K16+'Exh 5 Stores IS'!K24+'Exh 5 Stores IS'!K32+'Exh 5 Stores IS'!K40+'Exh 5 Stores IS'!K48+'Exh 5 Stores IS'!K56+'Exh 5 Stores IS'!K64+'Exh 5 Stores IS'!K72+'Exh 5 Stores IS'!K80+'Exh 5 Stores IS'!K88+'Exh 5 Stores IS'!K96+'Exh 5 Stores IS'!K104)</f>
        <v>2441.75</v>
      </c>
      <c r="J8" s="8">
        <f>('Exh 5 Stores IS'!L8+'Exh 5 Stores IS'!L16+'Exh 5 Stores IS'!L24+'Exh 5 Stores IS'!L32+'Exh 5 Stores IS'!L40+'Exh 5 Stores IS'!L48+'Exh 5 Stores IS'!L56+'Exh 5 Stores IS'!L64+'Exh 5 Stores IS'!L72+'Exh 5 Stores IS'!L80+'Exh 5 Stores IS'!L88+'Exh 5 Stores IS'!L96+'Exh 5 Stores IS'!L104)</f>
        <v>2086.75</v>
      </c>
      <c r="K8" s="8">
        <f>('Exh 5 Stores IS'!M8+'Exh 5 Stores IS'!M16+'Exh 5 Stores IS'!M24+'Exh 5 Stores IS'!M32+'Exh 5 Stores IS'!M40+'Exh 5 Stores IS'!M48+'Exh 5 Stores IS'!M56+'Exh 5 Stores IS'!M64+'Exh 5 Stores IS'!M72+'Exh 5 Stores IS'!M80+'Exh 5 Stores IS'!M88+'Exh 5 Stores IS'!M96+'Exh 5 Stores IS'!M104)</f>
        <v>1532</v>
      </c>
      <c r="L8" s="8">
        <f>('Exh 5 Stores IS'!N8+'Exh 5 Stores IS'!N16+'Exh 5 Stores IS'!N24+'Exh 5 Stores IS'!N32+'Exh 5 Stores IS'!N40+'Exh 5 Stores IS'!N48+'Exh 5 Stores IS'!N56+'Exh 5 Stores IS'!N64+'Exh 5 Stores IS'!N72+'Exh 5 Stores IS'!N80+'Exh 5 Stores IS'!N88+'Exh 5 Stores IS'!N96+'Exh 5 Stores IS'!N104)</f>
        <v>798.1</v>
      </c>
    </row>
    <row r="9" spans="1:16" x14ac:dyDescent="0.25">
      <c r="B9" s="17" t="s">
        <v>42</v>
      </c>
      <c r="C9" s="13">
        <f>-(('Exh 3 Teuer BS'!C6-0)-('Exh 3 Teuer BS'!C13-0))</f>
        <v>-405.92325339295337</v>
      </c>
      <c r="D9" s="13">
        <f>-(('Exh 3 Teuer BS'!D6-'Exh 3 Teuer BS'!C6)-('Exh 3 Teuer BS'!D13-'Exh 3 Teuer BS'!C13))</f>
        <v>-2193.3432504379334</v>
      </c>
      <c r="E9" s="13">
        <f>-(('Exh 3 Teuer BS'!E6-'Exh 3 Teuer BS'!D6)-('Exh 3 Teuer BS'!E13-'Exh 3 Teuer BS'!D13))</f>
        <v>-5956.7646933949873</v>
      </c>
      <c r="F9" s="13">
        <f>-(('Exh 3 Teuer BS'!F6-'Exh 3 Teuer BS'!E6)-('Exh 3 Teuer BS'!F13-'Exh 3 Teuer BS'!E13))</f>
        <v>-9466.5249759034887</v>
      </c>
      <c r="G9" s="13">
        <f>-(('Exh 3 Teuer BS'!G6-'Exh 3 Teuer BS'!F6)-('Exh 3 Teuer BS'!G13-'Exh 3 Teuer BS'!F13))</f>
        <v>-11644.613821267283</v>
      </c>
      <c r="H9" s="13">
        <f>-(('Exh 3 Teuer BS'!H6-'Exh 3 Teuer BS'!G6)-('Exh 3 Teuer BS'!H13-'Exh 3 Teuer BS'!G13))</f>
        <v>-8497.8529510891822</v>
      </c>
      <c r="I9" s="13">
        <f>-(('Exh 3 Teuer BS'!I6-'Exh 3 Teuer BS'!H6)-('Exh 3 Teuer BS'!I13-'Exh 3 Teuer BS'!H13))</f>
        <v>-6281.2159631286067</v>
      </c>
      <c r="J9" s="13">
        <f>-(('Exh 3 Teuer BS'!J6-'Exh 3 Teuer BS'!I6)-('Exh 3 Teuer BS'!J13-'Exh 3 Teuer BS'!I13))</f>
        <v>-8494.1556691755668</v>
      </c>
      <c r="K9" s="13">
        <f>-(('Exh 3 Teuer BS'!K6-'Exh 3 Teuer BS'!J6)-('Exh 3 Teuer BS'!K13-'Exh 3 Teuer BS'!J13))</f>
        <v>-7191.9512377235387</v>
      </c>
      <c r="L9" s="13">
        <f>-(('Exh 3 Teuer BS'!L6-'Exh 3 Teuer BS'!K6)-('Exh 3 Teuer BS'!L13-'Exh 3 Teuer BS'!K13))</f>
        <v>-8364.7688927141062</v>
      </c>
    </row>
    <row r="10" spans="1:16" x14ac:dyDescent="0.25">
      <c r="B10" t="s">
        <v>89</v>
      </c>
      <c r="C10" s="8">
        <f>SUM(C6:C9)</f>
        <v>-763.92325339295337</v>
      </c>
      <c r="D10" s="8">
        <f>SUM(D6:D9)</f>
        <v>-3822.7273189958082</v>
      </c>
      <c r="E10" s="8">
        <f t="shared" ref="E10:L10" si="1">SUM(E6:E9)</f>
        <v>-9051.7169631523757</v>
      </c>
      <c r="F10" s="8">
        <f t="shared" si="1"/>
        <v>-14461.162413664926</v>
      </c>
      <c r="G10" s="8">
        <f t="shared" si="1"/>
        <v>-16043.192048783758</v>
      </c>
      <c r="H10" s="8">
        <f t="shared" si="1"/>
        <v>-5747.1153528691793</v>
      </c>
      <c r="I10" s="8">
        <f t="shared" si="1"/>
        <v>1643.560168908718</v>
      </c>
      <c r="J10" s="8">
        <f t="shared" si="1"/>
        <v>6145.2943660772944</v>
      </c>
      <c r="K10" s="8">
        <f t="shared" si="1"/>
        <v>13423.750530837528</v>
      </c>
      <c r="L10" s="8">
        <f t="shared" si="1"/>
        <v>12247.294504504393</v>
      </c>
      <c r="P10" s="1"/>
    </row>
    <row r="11" spans="1:16" x14ac:dyDescent="0.25">
      <c r="C11" s="8"/>
      <c r="D11" s="8"/>
      <c r="E11" s="8"/>
      <c r="F11" s="8"/>
      <c r="G11" s="8"/>
      <c r="H11" s="8"/>
    </row>
    <row r="12" spans="1:16" x14ac:dyDescent="0.25">
      <c r="D12" s="8"/>
      <c r="E12" s="8"/>
      <c r="F12" s="8"/>
      <c r="G12" s="8"/>
      <c r="H12" s="8"/>
      <c r="I12" s="8"/>
      <c r="J12" s="8"/>
      <c r="K12" s="8"/>
      <c r="L12" s="8"/>
    </row>
    <row r="13" spans="1:16" x14ac:dyDescent="0.25">
      <c r="C13" s="9"/>
      <c r="D13" s="9"/>
      <c r="E13" s="9"/>
      <c r="F13" s="9"/>
      <c r="G13" s="9"/>
      <c r="H13" s="9"/>
      <c r="I13" s="9"/>
      <c r="J13" s="9"/>
      <c r="K13" s="9"/>
      <c r="L13" s="9"/>
      <c r="M13" s="9"/>
    </row>
    <row r="14" spans="1:16" x14ac:dyDescent="0.25">
      <c r="C14" s="9"/>
      <c r="D14" s="9"/>
      <c r="E14" s="9"/>
      <c r="F14" s="9"/>
      <c r="G14" s="9"/>
      <c r="H14" s="9"/>
      <c r="I14" s="9"/>
      <c r="J14" s="9"/>
      <c r="K14" s="9"/>
      <c r="L14" s="9"/>
    </row>
    <row r="15" spans="1:16" x14ac:dyDescent="0.25">
      <c r="C15" s="9"/>
      <c r="D15" s="9"/>
      <c r="E15" s="9"/>
      <c r="F15" s="9"/>
      <c r="G15" s="9"/>
      <c r="H15" s="9"/>
      <c r="I15" s="9"/>
      <c r="J15" s="9"/>
      <c r="K15" s="9"/>
      <c r="L15" s="9"/>
    </row>
    <row r="16" spans="1:16" x14ac:dyDescent="0.25">
      <c r="C16" s="9"/>
      <c r="D16" s="9"/>
      <c r="E16" s="9"/>
      <c r="F16" s="9"/>
      <c r="G16" s="9"/>
      <c r="H16" s="9"/>
      <c r="I16" s="9"/>
      <c r="J16" s="9"/>
      <c r="K16" s="9"/>
      <c r="L16" s="9"/>
    </row>
    <row r="17" spans="3:12" x14ac:dyDescent="0.25">
      <c r="C17" s="9"/>
      <c r="D17" s="9"/>
      <c r="E17" s="9"/>
      <c r="F17" s="9"/>
      <c r="G17" s="9"/>
      <c r="H17" s="9"/>
      <c r="I17" s="9"/>
      <c r="J17" s="9"/>
      <c r="K17" s="9"/>
      <c r="L17" s="9"/>
    </row>
    <row r="18" spans="3:12" x14ac:dyDescent="0.25">
      <c r="C18" s="9"/>
      <c r="D18" s="9"/>
      <c r="E18" s="9"/>
      <c r="F18" s="9"/>
      <c r="G18" s="9"/>
      <c r="H18" s="9"/>
      <c r="I18" s="9"/>
      <c r="J18" s="9"/>
      <c r="K18" s="9"/>
      <c r="L18" s="9"/>
    </row>
    <row r="19" spans="3:12" x14ac:dyDescent="0.25">
      <c r="C19" s="9"/>
      <c r="D19" s="9"/>
      <c r="E19" s="9"/>
      <c r="F19" s="9"/>
      <c r="G19" s="9"/>
      <c r="H19" s="9"/>
      <c r="I19" s="9"/>
      <c r="J19" s="9"/>
      <c r="K19" s="9"/>
      <c r="L19" s="9"/>
    </row>
    <row r="20" spans="3:12" x14ac:dyDescent="0.25">
      <c r="C20" s="9"/>
      <c r="D20" s="9"/>
      <c r="E20" s="9"/>
      <c r="F20" s="9"/>
      <c r="G20" s="9"/>
      <c r="H20" s="9"/>
      <c r="I20" s="9"/>
      <c r="J20" s="9"/>
      <c r="K20" s="9"/>
      <c r="L20" s="9"/>
    </row>
    <row r="21" spans="3:12" x14ac:dyDescent="0.25">
      <c r="C21" s="9"/>
      <c r="D21" s="9"/>
      <c r="E21" s="9"/>
      <c r="F21" s="9"/>
      <c r="G21" s="9"/>
      <c r="H21" s="9"/>
      <c r="I21" s="9"/>
      <c r="J21" s="9"/>
      <c r="K21" s="9"/>
      <c r="L21" s="9"/>
    </row>
    <row r="22" spans="3:12" x14ac:dyDescent="0.25">
      <c r="C22" s="9"/>
      <c r="D22" s="9"/>
      <c r="E22" s="9"/>
      <c r="F22" s="9"/>
      <c r="G22" s="9"/>
      <c r="H22" s="9"/>
      <c r="I22" s="9"/>
      <c r="J22" s="9"/>
      <c r="K22" s="9"/>
      <c r="L22" s="9"/>
    </row>
    <row r="23" spans="3:12" x14ac:dyDescent="0.25">
      <c r="C23" s="9"/>
      <c r="D23" s="9"/>
      <c r="E23" s="9"/>
      <c r="F23" s="9"/>
      <c r="G23" s="9"/>
      <c r="H23" s="9"/>
      <c r="I23" s="9"/>
      <c r="J23" s="9"/>
      <c r="K23" s="9"/>
      <c r="L23" s="9"/>
    </row>
    <row r="24" spans="3:12" x14ac:dyDescent="0.25">
      <c r="C24" s="9"/>
      <c r="D24" s="9"/>
      <c r="E24" s="9"/>
      <c r="F24" s="9"/>
      <c r="G24" s="9"/>
      <c r="H24" s="9"/>
      <c r="I24" s="9"/>
      <c r="J24" s="9"/>
      <c r="K24" s="9"/>
      <c r="L24" s="9"/>
    </row>
  </sheetData>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workbookViewId="0">
      <pane xSplit="2" ySplit="2" topLeftCell="C3" activePane="bottomRight" state="frozen"/>
      <selection pane="topRight"/>
      <selection pane="bottomLeft"/>
      <selection pane="bottomRight"/>
    </sheetView>
  </sheetViews>
  <sheetFormatPr defaultColWidth="8.85546875" defaultRowHeight="15" x14ac:dyDescent="0.25"/>
  <cols>
    <col min="1" max="1" width="18.7109375" customWidth="1"/>
    <col min="2" max="11" width="8.7109375" customWidth="1"/>
  </cols>
  <sheetData>
    <row r="1" spans="1:21" ht="18.75" x14ac:dyDescent="0.3">
      <c r="A1" s="12" t="s">
        <v>59</v>
      </c>
    </row>
    <row r="2" spans="1:21" x14ac:dyDescent="0.25">
      <c r="B2" s="72" t="s">
        <v>20</v>
      </c>
      <c r="C2">
        <v>1</v>
      </c>
      <c r="D2">
        <v>2</v>
      </c>
      <c r="E2">
        <v>3</v>
      </c>
      <c r="F2">
        <v>4</v>
      </c>
      <c r="G2">
        <v>5</v>
      </c>
      <c r="H2">
        <v>6</v>
      </c>
      <c r="I2">
        <v>7</v>
      </c>
      <c r="J2">
        <v>8</v>
      </c>
      <c r="K2">
        <v>9</v>
      </c>
    </row>
    <row r="3" spans="1:21" x14ac:dyDescent="0.25">
      <c r="A3" t="s">
        <v>21</v>
      </c>
      <c r="B3" s="72">
        <v>2003</v>
      </c>
      <c r="C3" s="33"/>
      <c r="D3" s="29">
        <f>('Exh 5 Stores IS'!G4/'Exh 5 Stores IS'!F4)/(1+HLOOKUP($B3+D$2,'Exh 4 Econ Indicators'!$B$2:$S$8,7,FALSE))-1</f>
        <v>0.73576593206719565</v>
      </c>
      <c r="E3" s="29">
        <f>('Exh 5 Stores IS'!H4/'Exh 5 Stores IS'!G4)/(1+HLOOKUP($B3+E$2,'Exh 4 Econ Indicators'!$B$2:$S$8,7,FALSE))-1</f>
        <v>0.34605432692126037</v>
      </c>
      <c r="F3" s="29">
        <f>('Exh 5 Stores IS'!I4/'Exh 5 Stores IS'!H4)/(1+HLOOKUP($B3+F$2,'Exh 4 Econ Indicators'!$B$2:$S$8,7,FALSE))-1</f>
        <v>0.19454881809221036</v>
      </c>
      <c r="G3" s="29">
        <f>('Exh 5 Stores IS'!J4/'Exh 5 Stores IS'!I4)/(1+HLOOKUP($B3+G$2,'Exh 4 Econ Indicators'!$B$2:$S$8,7,FALSE))-1</f>
        <v>0.15137411879793339</v>
      </c>
      <c r="H3" s="29">
        <f>('Exh 5 Stores IS'!K4/'Exh 5 Stores IS'!J4)/(1+HLOOKUP($B3+H$2,'Exh 4 Econ Indicators'!$B$2:$S$8,7,FALSE))-1</f>
        <v>1.6527639507102343E-3</v>
      </c>
      <c r="I3" s="29">
        <f>('Exh 5 Stores IS'!L4/'Exh 5 Stores IS'!K4)/(1+HLOOKUP($B3+I$2,'Exh 4 Econ Indicators'!$B$2:$S$8,7,FALSE))-1</f>
        <v>1.1993916106581182E-2</v>
      </c>
      <c r="J3" s="29">
        <f>('Exh 5 Stores IS'!M4/'Exh 5 Stores IS'!L4)/(1+HLOOKUP($B3+J$2,'Exh 4 Econ Indicators'!$B$2:$S$8,7,FALSE))-1</f>
        <v>9.6339761648136513E-3</v>
      </c>
      <c r="K3" s="29">
        <f>('Exh 5 Stores IS'!N4/'Exh 5 Stores IS'!M4)/(1+HLOOKUP($B3+K$2,'Exh 4 Econ Indicators'!$B$2:$S$8,7,FALSE))-1</f>
        <v>-6.031350370819144E-3</v>
      </c>
      <c r="L3" s="29"/>
      <c r="M3" s="39"/>
      <c r="N3" s="6"/>
      <c r="O3" s="6"/>
      <c r="P3" s="6"/>
      <c r="Q3" s="6"/>
      <c r="R3" s="6"/>
      <c r="S3" s="6"/>
      <c r="T3" s="6"/>
      <c r="U3" s="6"/>
    </row>
    <row r="4" spans="1:21" x14ac:dyDescent="0.25">
      <c r="B4" s="72">
        <v>2004</v>
      </c>
      <c r="D4" s="35">
        <f>('Exh 5 Stores IS'!H12/'Exh 5 Stores IS'!G12)/(1+HLOOKUP($B4+D$2,'Exh 4 Econ Indicators'!$B$2:$S$8,7,FALSE))-1</f>
        <v>0.72930965789005753</v>
      </c>
      <c r="E4" s="35">
        <f>('Exh 5 Stores IS'!I12/'Exh 5 Stores IS'!H12)/(1+HLOOKUP($B4+E$2,'Exh 4 Econ Indicators'!$B$2:$S$8,7,FALSE))-1</f>
        <v>0.29198638395839804</v>
      </c>
      <c r="F4" s="35">
        <f>('Exh 5 Stores IS'!J12/'Exh 5 Stores IS'!I12)/(1+HLOOKUP($B4+F$2,'Exh 4 Econ Indicators'!$B$2:$S$8,7,FALSE))-1</f>
        <v>0.21423889597995305</v>
      </c>
      <c r="G4" s="35">
        <f>('Exh 5 Stores IS'!K12/'Exh 5 Stores IS'!J12)/(1+HLOOKUP($B4+G$2,'Exh 4 Econ Indicators'!$B$2:$S$8,7,FALSE))-1</f>
        <v>8.1248229034811326E-2</v>
      </c>
      <c r="H4" s="35">
        <f>('Exh 5 Stores IS'!L12/'Exh 5 Stores IS'!K12)/(1+HLOOKUP($B4+H$2,'Exh 4 Econ Indicators'!$B$2:$S$8,7,FALSE))-1</f>
        <v>3.5653774520969739E-2</v>
      </c>
      <c r="I4" s="35">
        <f>('Exh 5 Stores IS'!M12/'Exh 5 Stores IS'!L12)/(1+HLOOKUP($B4+I$2,'Exh 4 Econ Indicators'!$B$2:$S$8,7,FALSE))-1</f>
        <v>3.4489308000526187E-2</v>
      </c>
      <c r="J4" s="35">
        <f>('Exh 5 Stores IS'!N12/'Exh 5 Stores IS'!M12)/(1+HLOOKUP($B4+J$2,'Exh 4 Econ Indicators'!$B$2:$S$8,7,FALSE))-1</f>
        <v>1.1851307829924274E-4</v>
      </c>
      <c r="L4" s="32"/>
    </row>
    <row r="5" spans="1:21" x14ac:dyDescent="0.25">
      <c r="B5" s="72">
        <v>2005</v>
      </c>
      <c r="D5" s="35">
        <f>('Exh 5 Stores IS'!I20/'Exh 5 Stores IS'!H20)/(1+HLOOKUP($B5+D$2,'Exh 4 Econ Indicators'!$B$2:$S$8,7,FALSE))-1</f>
        <v>0.76595935898385559</v>
      </c>
      <c r="E5" s="35">
        <f>('Exh 5 Stores IS'!J20/'Exh 5 Stores IS'!I20)/(1+HLOOKUP($B5+E$2,'Exh 4 Econ Indicators'!$B$2:$S$8,7,FALSE))-1</f>
        <v>0.32642724377869792</v>
      </c>
      <c r="F5" s="35">
        <f>('Exh 5 Stores IS'!K20/'Exh 5 Stores IS'!J20)/(1+HLOOKUP($B5+F$2,'Exh 4 Econ Indicators'!$B$2:$S$8,7,FALSE))-1</f>
        <v>0.22217571417212767</v>
      </c>
      <c r="G5" s="35">
        <f>('Exh 5 Stores IS'!L20/'Exh 5 Stores IS'!K20)/(1+HLOOKUP($B5+G$2,'Exh 4 Econ Indicators'!$B$2:$S$8,7,FALSE))-1</f>
        <v>7.7649860061681952E-2</v>
      </c>
      <c r="H5" s="35">
        <f>('Exh 5 Stores IS'!M20/'Exh 5 Stores IS'!L20)/(1+HLOOKUP($B5+H$2,'Exh 4 Econ Indicators'!$B$2:$S$8,7,FALSE))-1</f>
        <v>3.7170124544198879E-2</v>
      </c>
      <c r="I5" s="35">
        <f>('Exh 5 Stores IS'!N20/'Exh 5 Stores IS'!M20)/(1+HLOOKUP($B5+I$2,'Exh 4 Econ Indicators'!$B$2:$S$8,7,FALSE))-1</f>
        <v>-3.0963668213674134E-2</v>
      </c>
      <c r="L5" s="32"/>
    </row>
    <row r="6" spans="1:21" x14ac:dyDescent="0.25">
      <c r="B6" s="72">
        <v>2006</v>
      </c>
      <c r="C6" s="34"/>
      <c r="D6" s="35">
        <f>('Exh 5 Stores IS'!J28/'Exh 5 Stores IS'!I28)/(1+HLOOKUP($B6+D$2,'Exh 4 Econ Indicators'!$B$2:$S$8,7,FALSE))-1</f>
        <v>0.73755703710613796</v>
      </c>
      <c r="E6" s="35">
        <f>('Exh 5 Stores IS'!K28/'Exh 5 Stores IS'!J28)/(1+HLOOKUP($B6+E$2,'Exh 4 Econ Indicators'!$B$2:$S$8,7,FALSE))-1</f>
        <v>0.28795736986360754</v>
      </c>
      <c r="F6" s="35">
        <f>('Exh 5 Stores IS'!L28/'Exh 5 Stores IS'!K28)/(1+HLOOKUP($B6+F$2,'Exh 4 Econ Indicators'!$B$2:$S$8,7,FALSE))-1</f>
        <v>0.24410509595769736</v>
      </c>
      <c r="G6" s="35">
        <f>('Exh 5 Stores IS'!M28/'Exh 5 Stores IS'!L28)/(1+HLOOKUP($B6+G$2,'Exh 4 Econ Indicators'!$B$2:$S$8,7,FALSE))-1</f>
        <v>0.11281244332153828</v>
      </c>
      <c r="H6" s="35">
        <f>('Exh 5 Stores IS'!N28/'Exh 5 Stores IS'!M28)/(1+HLOOKUP($B6+H$2,'Exh 4 Econ Indicators'!$B$2:$S$8,7,FALSE))-1</f>
        <v>-1.2501962221326379E-2</v>
      </c>
      <c r="I6" s="35"/>
      <c r="L6" s="32"/>
    </row>
    <row r="7" spans="1:21" x14ac:dyDescent="0.25">
      <c r="B7" s="72">
        <v>2007</v>
      </c>
      <c r="D7" s="35">
        <f>('Exh 5 Stores IS'!K36/'Exh 5 Stores IS'!J36)/(1+HLOOKUP($B7+D$2,'Exh 4 Econ Indicators'!$B$2:$S$8,7,FALSE))-1</f>
        <v>0.64512903258765708</v>
      </c>
      <c r="E7" s="35">
        <f>('Exh 5 Stores IS'!L36/'Exh 5 Stores IS'!K36)/(1+HLOOKUP($B7+E$2,'Exh 4 Econ Indicators'!$B$2:$S$8,7,FALSE))-1</f>
        <v>0.36841098397463479</v>
      </c>
      <c r="F7" s="35">
        <f>('Exh 5 Stores IS'!M36/'Exh 5 Stores IS'!L36)/(1+HLOOKUP($B7+F$2,'Exh 4 Econ Indicators'!$B$2:$S$8,7,FALSE))-1</f>
        <v>0.26059234254348174</v>
      </c>
      <c r="G7" s="35">
        <f>('Exh 5 Stores IS'!N36/'Exh 5 Stores IS'!M36)/(1+HLOOKUP($B7+G$2,'Exh 4 Econ Indicators'!$B$2:$S$8,7,FALSE))-1</f>
        <v>6.2609059525504218E-2</v>
      </c>
      <c r="H7" s="35"/>
      <c r="I7" s="35"/>
      <c r="L7" s="32"/>
    </row>
    <row r="8" spans="1:21" x14ac:dyDescent="0.25">
      <c r="B8" s="72">
        <v>2008</v>
      </c>
      <c r="D8" s="35">
        <f>('Exh 5 Stores IS'!L44/'Exh 5 Stores IS'!K44)/(1+HLOOKUP($B8+D$2,'Exh 4 Econ Indicators'!$B$2:$S$8,7,FALSE))-1</f>
        <v>0.60488359465506125</v>
      </c>
      <c r="E8" s="35">
        <f>('Exh 5 Stores IS'!M44/'Exh 5 Stores IS'!L44)/(1+HLOOKUP($B8+E$2,'Exh 4 Econ Indicators'!$B$2:$S$8,7,FALSE))-1</f>
        <v>0.35635852048097916</v>
      </c>
      <c r="F8" s="35">
        <f>('Exh 5 Stores IS'!N44/'Exh 5 Stores IS'!M44)/(1+HLOOKUP($B8+F$2,'Exh 4 Econ Indicators'!$B$2:$S$8,7,FALSE))-1</f>
        <v>0.23587535265475967</v>
      </c>
      <c r="G8" s="35"/>
      <c r="H8" s="35"/>
      <c r="I8" s="35"/>
      <c r="L8" s="32"/>
      <c r="P8" s="32"/>
    </row>
    <row r="9" spans="1:21" x14ac:dyDescent="0.25">
      <c r="B9" s="72">
        <v>2009</v>
      </c>
      <c r="D9" s="35">
        <f>('Exh 5 Stores IS'!M52/'Exh 5 Stores IS'!L52)/(1+HLOOKUP($B9+D$2,'Exh 4 Econ Indicators'!$B$2:$S$8,7,FALSE))-1</f>
        <v>0.69042407518515669</v>
      </c>
      <c r="E9" s="35">
        <f>('Exh 5 Stores IS'!N52/'Exh 5 Stores IS'!M52)/(1+HLOOKUP($B9+E$2,'Exh 4 Econ Indicators'!$B$2:$S$8,7,FALSE))-1</f>
        <v>0.36554498672450042</v>
      </c>
      <c r="F9" s="35"/>
      <c r="G9" s="35"/>
      <c r="H9" s="35"/>
      <c r="I9" s="35"/>
    </row>
    <row r="10" spans="1:21" x14ac:dyDescent="0.25">
      <c r="B10" s="72">
        <v>2010</v>
      </c>
      <c r="D10" s="29">
        <f>('Exh 5 Stores IS'!N60/'Exh 5 Stores IS'!M60)/(1+HLOOKUP($B10+D$2,'Exh 4 Econ Indicators'!$B$2:$S$8,7,FALSE))-1</f>
        <v>0.70420099693829052</v>
      </c>
      <c r="E10" s="35"/>
      <c r="F10" s="35"/>
      <c r="G10" s="35"/>
      <c r="H10" s="35"/>
      <c r="I10" s="35"/>
    </row>
    <row r="11" spans="1:21" x14ac:dyDescent="0.25">
      <c r="B11" s="91">
        <v>2011</v>
      </c>
      <c r="C11" s="4"/>
      <c r="D11" s="98"/>
      <c r="E11" s="98"/>
      <c r="F11" s="98"/>
      <c r="G11" s="98"/>
      <c r="H11" s="98"/>
      <c r="I11" s="98"/>
      <c r="K11" s="39"/>
    </row>
    <row r="12" spans="1:21" x14ac:dyDescent="0.25">
      <c r="B12" s="72" t="s">
        <v>3</v>
      </c>
      <c r="D12" s="6">
        <f>AVERAGE(D3:D11)</f>
        <v>0.70165371067667659</v>
      </c>
      <c r="E12" s="6">
        <f>AVERAGE(E3:E11)</f>
        <v>0.33467711652886833</v>
      </c>
      <c r="F12" s="6">
        <f t="shared" ref="F12:H12" si="0">AVERAGE(F3:F11)</f>
        <v>0.22858936990003831</v>
      </c>
      <c r="G12" s="6">
        <f t="shared" si="0"/>
        <v>9.7138742148293836E-2</v>
      </c>
      <c r="H12" s="6">
        <f t="shared" si="0"/>
        <v>1.5493675198638118E-2</v>
      </c>
      <c r="I12" s="6">
        <f>AVERAGE(I3:K11)</f>
        <v>3.2067824609544973E-3</v>
      </c>
      <c r="P12" s="45"/>
    </row>
    <row r="13" spans="1:21" x14ac:dyDescent="0.25">
      <c r="B13" s="72"/>
      <c r="C13" s="30"/>
      <c r="D13" s="6"/>
      <c r="E13" s="6"/>
      <c r="F13" s="6"/>
      <c r="G13" s="6"/>
      <c r="H13" s="6"/>
      <c r="I13" s="6"/>
      <c r="P13" s="45"/>
    </row>
    <row r="14" spans="1:21" x14ac:dyDescent="0.25">
      <c r="B14" s="91" t="s">
        <v>20</v>
      </c>
      <c r="C14" s="4">
        <v>1</v>
      </c>
      <c r="D14" s="4">
        <v>2</v>
      </c>
      <c r="E14" s="4">
        <v>3</v>
      </c>
      <c r="F14" s="4">
        <v>4</v>
      </c>
      <c r="G14" s="4">
        <v>5</v>
      </c>
      <c r="H14" s="4">
        <v>6</v>
      </c>
      <c r="I14" s="4">
        <v>7</v>
      </c>
      <c r="J14" s="4">
        <v>8</v>
      </c>
      <c r="K14" s="4">
        <v>9</v>
      </c>
    </row>
    <row r="15" spans="1:21" x14ac:dyDescent="0.25">
      <c r="A15" t="s">
        <v>1</v>
      </c>
      <c r="B15" s="72">
        <v>2003</v>
      </c>
      <c r="C15" s="6">
        <f>'Exh 5 Stores IS'!F5/'Exh 5 Stores IS'!F4</f>
        <v>0.71135424264527114</v>
      </c>
      <c r="D15" s="6">
        <f>'Exh 5 Stores IS'!G5/'Exh 5 Stores IS'!G4</f>
        <v>0.61505061267980821</v>
      </c>
      <c r="E15" s="6">
        <f>'Exh 5 Stores IS'!H5/'Exh 5 Stores IS'!H4</f>
        <v>0.57783095625538439</v>
      </c>
      <c r="F15" s="6">
        <f>'Exh 5 Stores IS'!I5/'Exh 5 Stores IS'!I4</f>
        <v>0.38933619609948111</v>
      </c>
      <c r="G15" s="6">
        <f>'Exh 5 Stores IS'!J5/'Exh 5 Stores IS'!J4</f>
        <v>0.43420596120485733</v>
      </c>
      <c r="H15" s="6">
        <f>'Exh 5 Stores IS'!K5/'Exh 5 Stores IS'!K4</f>
        <v>0.41998909685626018</v>
      </c>
      <c r="I15" s="6">
        <f>'Exh 5 Stores IS'!L5/'Exh 5 Stores IS'!L4</f>
        <v>0.38933546269186409</v>
      </c>
      <c r="J15" s="6">
        <f>'Exh 5 Stores IS'!M5/'Exh 5 Stores IS'!M4</f>
        <v>0.36615568046329411</v>
      </c>
      <c r="K15" s="6">
        <f>'Exh 5 Stores IS'!N5/'Exh 5 Stores IS'!N4</f>
        <v>0.40039774610540274</v>
      </c>
    </row>
    <row r="16" spans="1:21" x14ac:dyDescent="0.25">
      <c r="B16" s="72">
        <v>2004</v>
      </c>
      <c r="C16" s="6">
        <f>'Exh 5 Stores IS'!G13/'Exh 5 Stores IS'!G12</f>
        <v>0.71277585948055855</v>
      </c>
      <c r="D16" s="6">
        <f>'Exh 5 Stores IS'!H13/'Exh 5 Stores IS'!H12</f>
        <v>0.62378856845323072</v>
      </c>
      <c r="E16" s="6">
        <f>'Exh 5 Stores IS'!I13/'Exh 5 Stores IS'!I12</f>
        <v>0.5207681853567141</v>
      </c>
      <c r="F16" s="6">
        <f>'Exh 5 Stores IS'!J13/'Exh 5 Stores IS'!J12</f>
        <v>0.43768309325246402</v>
      </c>
      <c r="G16" s="6">
        <f>'Exh 5 Stores IS'!K13/'Exh 5 Stores IS'!K12</f>
        <v>0.39049308540943695</v>
      </c>
      <c r="H16" s="6">
        <f>'Exh 5 Stores IS'!L13/'Exh 5 Stores IS'!L12</f>
        <v>0.41236030715437411</v>
      </c>
      <c r="I16" s="6">
        <f>'Exh 5 Stores IS'!M13/'Exh 5 Stores IS'!M12</f>
        <v>0.38724108594875828</v>
      </c>
      <c r="J16" s="6">
        <f>'Exh 5 Stores IS'!N13/'Exh 5 Stores IS'!N12</f>
        <v>0.40159498558916529</v>
      </c>
      <c r="K16" s="6"/>
    </row>
    <row r="17" spans="1:11" x14ac:dyDescent="0.25">
      <c r="B17" s="72">
        <v>2005</v>
      </c>
      <c r="C17" s="6">
        <f>'Exh 5 Stores IS'!H21/'Exh 5 Stores IS'!H20</f>
        <v>0.72915556391527425</v>
      </c>
      <c r="D17" s="29">
        <f>'Exh 5 Stores IS'!I21/'Exh 5 Stores IS'!I20</f>
        <v>0.65562428682961982</v>
      </c>
      <c r="E17" s="29">
        <f>'Exh 5 Stores IS'!J21/'Exh 5 Stores IS'!J20</f>
        <v>0.57771757534710477</v>
      </c>
      <c r="F17" s="29">
        <f>'Exh 5 Stores IS'!K21/'Exh 5 Stores IS'!K20</f>
        <v>0.4056733458707627</v>
      </c>
      <c r="G17" s="29">
        <f>'Exh 5 Stores IS'!L21/'Exh 5 Stores IS'!L20</f>
        <v>0.41087670153630668</v>
      </c>
      <c r="H17" s="29">
        <f>'Exh 5 Stores IS'!M21/'Exh 5 Stores IS'!M20</f>
        <v>0.40312626529084816</v>
      </c>
      <c r="I17" s="29">
        <f>'Exh 5 Stores IS'!N13/'Exh 5 Stores IS'!N12</f>
        <v>0.40159498558916529</v>
      </c>
      <c r="J17" s="29"/>
      <c r="K17" s="29"/>
    </row>
    <row r="18" spans="1:11" x14ac:dyDescent="0.25">
      <c r="B18" s="72">
        <v>2006</v>
      </c>
      <c r="C18" s="6">
        <f>'Exh 5 Stores IS'!I29/'Exh 5 Stores IS'!I28</f>
        <v>0.7013303491890539</v>
      </c>
      <c r="D18" s="6">
        <f>'Exh 5 Stores IS'!J29/'Exh 5 Stores IS'!J28</f>
        <v>0.53114180304606939</v>
      </c>
      <c r="E18" s="6">
        <f>'Exh 5 Stores IS'!K29/'Exh 5 Stores IS'!K28</f>
        <v>0.57621946050423012</v>
      </c>
      <c r="F18" s="6">
        <f>'Exh 5 Stores IS'!L29/'Exh 5 Stores IS'!L28</f>
        <v>0.33338944646638763</v>
      </c>
      <c r="G18" s="6">
        <f>'Exh 5 Stores IS'!M29/'Exh 5 Stores IS'!M28</f>
        <v>0.38876655534477045</v>
      </c>
      <c r="H18" s="6">
        <f>'Exh 5 Stores IS'!N29/'Exh 5 Stores IS'!N28</f>
        <v>0.40006317482196185</v>
      </c>
      <c r="I18" s="6"/>
    </row>
    <row r="19" spans="1:11" x14ac:dyDescent="0.25">
      <c r="B19" s="72">
        <v>2007</v>
      </c>
      <c r="C19" s="6">
        <f>'Exh 5 Stores IS'!J37/'Exh 5 Stores IS'!J36</f>
        <v>0.72590279487412057</v>
      </c>
      <c r="D19" s="6">
        <f>'Exh 5 Stores IS'!K37/'Exh 5 Stores IS'!K36</f>
        <v>0.67271942184446165</v>
      </c>
      <c r="E19" s="6">
        <f>'Exh 5 Stores IS'!L37/'Exh 5 Stores IS'!L36</f>
        <v>0.53901903439583276</v>
      </c>
      <c r="F19" s="6">
        <f>'Exh 5 Stores IS'!M37/'Exh 5 Stores IS'!M36</f>
        <v>0.38436265083955368</v>
      </c>
      <c r="G19" s="6">
        <f>'Exh 5 Stores IS'!N37/'Exh 5 Stores IS'!N36</f>
        <v>0.41009163776670265</v>
      </c>
      <c r="H19" s="6"/>
      <c r="I19" s="6"/>
    </row>
    <row r="20" spans="1:11" x14ac:dyDescent="0.25">
      <c r="B20" s="72">
        <v>2008</v>
      </c>
      <c r="C20" s="6">
        <f>'Exh 5 Stores IS'!K45/'Exh 5 Stores IS'!K44</f>
        <v>0.64425339650465951</v>
      </c>
      <c r="D20" s="6">
        <f>'Exh 5 Stores IS'!L45/'Exh 5 Stores IS'!L44</f>
        <v>0.66976429675425031</v>
      </c>
      <c r="E20" s="6">
        <f>'Exh 5 Stores IS'!M45/'Exh 5 Stores IS'!M44</f>
        <v>0.61022073135379129</v>
      </c>
      <c r="F20" s="6">
        <f>'Exh 5 Stores IS'!N45/'Exh 5 Stores IS'!N44</f>
        <v>0.40661323078252598</v>
      </c>
      <c r="G20" s="6"/>
      <c r="H20" s="6"/>
      <c r="I20" s="6"/>
    </row>
    <row r="21" spans="1:11" x14ac:dyDescent="0.25">
      <c r="B21" s="72">
        <v>2009</v>
      </c>
      <c r="C21" s="6">
        <f>'Exh 5 Stores IS'!L53/'Exh 5 Stores IS'!L52</f>
        <v>0.71003200222624174</v>
      </c>
      <c r="D21" s="6">
        <f>'Exh 5 Stores IS'!M53/'Exh 5 Stores IS'!M52</f>
        <v>0.65890236119974477</v>
      </c>
      <c r="E21" s="6">
        <f>'Exh 5 Stores IS'!N53/'Exh 5 Stores IS'!N52</f>
        <v>0.53303578994943646</v>
      </c>
      <c r="F21" s="6"/>
      <c r="G21" s="6"/>
      <c r="H21" s="6"/>
      <c r="I21" s="6"/>
    </row>
    <row r="22" spans="1:11" x14ac:dyDescent="0.25">
      <c r="B22" s="72">
        <v>2010</v>
      </c>
      <c r="C22" s="6">
        <f>'Exh 5 Stores IS'!M61/'Exh 5 Stores IS'!M60</f>
        <v>0.74010040895036078</v>
      </c>
      <c r="D22" s="6">
        <f>'Exh 5 Stores IS'!N61/'Exh 5 Stores IS'!N60</f>
        <v>0.66520754716981134</v>
      </c>
      <c r="E22" s="6"/>
      <c r="F22" s="6"/>
      <c r="G22" s="6"/>
      <c r="H22" s="6"/>
      <c r="I22" s="6"/>
    </row>
    <row r="23" spans="1:11" x14ac:dyDescent="0.25">
      <c r="B23" s="91">
        <v>2011</v>
      </c>
      <c r="C23" s="95">
        <f>'Exh 5 Stores IS'!N69/'Exh 5 Stores IS'!N68</f>
        <v>0.70283567403166658</v>
      </c>
      <c r="D23" s="95"/>
      <c r="E23" s="95"/>
      <c r="F23" s="95"/>
      <c r="G23" s="6"/>
      <c r="H23" s="6"/>
      <c r="I23" s="6"/>
    </row>
    <row r="24" spans="1:11" x14ac:dyDescent="0.25">
      <c r="B24" s="72" t="s">
        <v>3</v>
      </c>
      <c r="C24" s="6">
        <f t="shared" ref="C24:E24" si="1">AVERAGE(C15:C23)</f>
        <v>0.70863781020191174</v>
      </c>
      <c r="D24" s="6">
        <f t="shared" si="1"/>
        <v>0.63652486224712457</v>
      </c>
      <c r="E24" s="6">
        <f t="shared" si="1"/>
        <v>0.56211596188035629</v>
      </c>
      <c r="F24" s="6">
        <f>AVERAGE(F15:K23)</f>
        <v>0.3987309854802068</v>
      </c>
      <c r="G24" s="6"/>
      <c r="H24" s="6"/>
      <c r="I24" s="6"/>
    </row>
    <row r="25" spans="1:11" x14ac:dyDescent="0.25">
      <c r="B25" s="72"/>
      <c r="C25" s="6"/>
      <c r="D25" s="6"/>
      <c r="E25" s="6"/>
      <c r="F25" s="6"/>
      <c r="G25" s="6"/>
      <c r="H25" s="6"/>
      <c r="I25" s="6"/>
    </row>
    <row r="26" spans="1:11" x14ac:dyDescent="0.25">
      <c r="B26" s="91" t="s">
        <v>20</v>
      </c>
      <c r="C26" s="4">
        <v>1</v>
      </c>
      <c r="D26" s="4">
        <v>2</v>
      </c>
      <c r="E26" s="4">
        <v>3</v>
      </c>
      <c r="F26" s="4">
        <v>4</v>
      </c>
      <c r="G26" s="4">
        <v>5</v>
      </c>
      <c r="H26" s="4">
        <v>6</v>
      </c>
      <c r="I26" s="4">
        <v>7</v>
      </c>
      <c r="J26" s="4">
        <v>8</v>
      </c>
      <c r="K26" s="4">
        <v>9</v>
      </c>
    </row>
    <row r="27" spans="1:11" x14ac:dyDescent="0.25">
      <c r="A27" t="s">
        <v>15</v>
      </c>
      <c r="B27" s="72">
        <v>2003</v>
      </c>
      <c r="C27" s="38">
        <f>'Exh 5 Stores IS'!F6/'Exh 5 Stores IS'!F4</f>
        <v>0.19912472647702406</v>
      </c>
      <c r="D27" s="38">
        <f>'Exh 5 Stores IS'!G6/'Exh 5 Stores IS'!G4</f>
        <v>0.17053809270111883</v>
      </c>
      <c r="E27" s="38">
        <f>'Exh 5 Stores IS'!H6/'Exh 5 Stores IS'!H4</f>
        <v>0.16400880635589166</v>
      </c>
      <c r="F27" s="38">
        <f>'Exh 5 Stores IS'!I6/'Exh 5 Stores IS'!I4</f>
        <v>0.13915320678605703</v>
      </c>
      <c r="G27" s="38">
        <f>'Exh 5 Stores IS'!J6/'Exh 5 Stores IS'!J4</f>
        <v>0.12854439362876519</v>
      </c>
      <c r="H27" s="38">
        <f>'Exh 5 Stores IS'!K6/'Exh 5 Stores IS'!K4</f>
        <v>0.13903325458840632</v>
      </c>
      <c r="I27" s="38">
        <f>'Exh 5 Stores IS'!L6/'Exh 5 Stores IS'!L4</f>
        <v>0.13606601011445302</v>
      </c>
      <c r="J27" s="38">
        <f>'Exh 5 Stores IS'!M6/'Exh 5 Stores IS'!M4</f>
        <v>0.11694770907852155</v>
      </c>
      <c r="K27" s="38">
        <f>'Exh 5 Stores IS'!N6/'Exh 5 Stores IS'!N4</f>
        <v>0.13109048723897912</v>
      </c>
    </row>
    <row r="28" spans="1:11" x14ac:dyDescent="0.25">
      <c r="B28" s="72">
        <v>2004</v>
      </c>
      <c r="C28" s="39">
        <f>'Exh 5 Stores IS'!G14/'Exh 5 Stores IS'!G12</f>
        <v>0.17584446779762797</v>
      </c>
      <c r="D28" s="39">
        <f>'Exh 5 Stores IS'!H14/'Exh 5 Stores IS'!H12</f>
        <v>0.18036683071031459</v>
      </c>
      <c r="E28" s="39">
        <f>'Exh 5 Stores IS'!I14/'Exh 5 Stores IS'!I12</f>
        <v>0.17360039055799656</v>
      </c>
      <c r="F28" s="39">
        <f>'Exh 5 Stores IS'!J14/'Exh 5 Stores IS'!J12</f>
        <v>0.1409188779378317</v>
      </c>
      <c r="G28" s="39">
        <f>'Exh 5 Stores IS'!K14/'Exh 5 Stores IS'!K12</f>
        <v>0.14493447972238047</v>
      </c>
      <c r="H28" s="39">
        <f>'Exh 5 Stores IS'!L14/'Exh 5 Stores IS'!L12</f>
        <v>0.13740401425809121</v>
      </c>
      <c r="I28" s="39">
        <f>'Exh 5 Stores IS'!M14/'Exh 5 Stores IS'!M12</f>
        <v>0.13859099826956575</v>
      </c>
      <c r="J28" s="39">
        <f>'Exh 5 Stores IS'!N14/'Exh 5 Stores IS'!N12</f>
        <v>0.12976466967008982</v>
      </c>
      <c r="K28" s="39"/>
    </row>
    <row r="29" spans="1:11" x14ac:dyDescent="0.25">
      <c r="B29" s="72">
        <v>2005</v>
      </c>
      <c r="C29" s="39">
        <f>'Exh 5 Stores IS'!H22/'Exh 5 Stores IS'!H20</f>
        <v>0.20410253194979988</v>
      </c>
      <c r="D29" s="39">
        <f>'Exh 5 Stores IS'!I22/'Exh 5 Stores IS'!I20</f>
        <v>0.17876403819590414</v>
      </c>
      <c r="E29" s="39">
        <f>'Exh 5 Stores IS'!J22/'Exh 5 Stores IS'!J20</f>
        <v>0.17039084967980955</v>
      </c>
      <c r="F29" s="39">
        <f>'Exh 5 Stores IS'!K22/'Exh 5 Stores IS'!K20</f>
        <v>0.14506505780264051</v>
      </c>
      <c r="G29" s="39">
        <f>'Exh 5 Stores IS'!L22/'Exh 5 Stores IS'!L20</f>
        <v>0.13220991815117958</v>
      </c>
      <c r="H29" s="39">
        <f>'Exh 5 Stores IS'!M22/'Exh 5 Stores IS'!M20</f>
        <v>0.13203603957318544</v>
      </c>
      <c r="I29" s="39">
        <f>'Exh 5 Stores IS'!N22/'Exh 5 Stores IS'!N20</f>
        <v>0.15073838542984724</v>
      </c>
    </row>
    <row r="30" spans="1:11" x14ac:dyDescent="0.25">
      <c r="B30" s="72">
        <v>2006</v>
      </c>
      <c r="C30" s="38">
        <f>'Exh 5 Stores IS'!I30/'Exh 5 Stores IS'!I28</f>
        <v>0.20368257146853763</v>
      </c>
      <c r="D30" s="38">
        <f>'Exh 5 Stores IS'!J30/'Exh 5 Stores IS'!J28</f>
        <v>0.18996783653391355</v>
      </c>
      <c r="E30" s="38">
        <f>'Exh 5 Stores IS'!K30/'Exh 5 Stores IS'!K28</f>
        <v>0.17957053966531594</v>
      </c>
      <c r="F30" s="38">
        <f>'Exh 5 Stores IS'!L30/'Exh 5 Stores IS'!L28</f>
        <v>0.12726795255522372</v>
      </c>
      <c r="G30" s="39">
        <f>'Exh 5 Stores IS'!M30/'Exh 5 Stores IS'!M28</f>
        <v>0.14352901161989484</v>
      </c>
      <c r="H30" s="39">
        <f>'Exh 5 Stores IS'!N30/'Exh 5 Stores IS'!N28</f>
        <v>0.14203710084998852</v>
      </c>
      <c r="I30" s="39"/>
    </row>
    <row r="31" spans="1:11" x14ac:dyDescent="0.25">
      <c r="B31" s="72">
        <v>2007</v>
      </c>
      <c r="C31" s="39">
        <f>'Exh 5 Stores IS'!J38/'Exh 5 Stores IS'!J36</f>
        <v>0.19762364435000065</v>
      </c>
      <c r="D31" s="39">
        <f>'Exh 5 Stores IS'!K38/'Exh 5 Stores IS'!K36</f>
        <v>0.17625562474432982</v>
      </c>
      <c r="E31" s="39">
        <f>'Exh 5 Stores IS'!L38/'Exh 5 Stores IS'!L36</f>
        <v>0.17957782307432243</v>
      </c>
      <c r="F31" s="39">
        <f>'Exh 5 Stores IS'!M38/'Exh 5 Stores IS'!M36</f>
        <v>0.13035414174754342</v>
      </c>
      <c r="G31" s="39">
        <f>'Exh 5 Stores IS'!N38/'Exh 5 Stores IS'!N36</f>
        <v>0.13589260696814495</v>
      </c>
      <c r="H31" s="39"/>
      <c r="I31" s="39"/>
    </row>
    <row r="32" spans="1:11" x14ac:dyDescent="0.25">
      <c r="B32" s="72">
        <v>2008</v>
      </c>
      <c r="C32" s="39">
        <f>'Exh 5 Stores IS'!K46/'Exh 5 Stores IS'!K44</f>
        <v>0.16375388284019954</v>
      </c>
      <c r="D32" s="39">
        <f>'Exh 5 Stores IS'!L46/'Exh 5 Stores IS'!L44</f>
        <v>0.18379057187017001</v>
      </c>
      <c r="E32" s="39">
        <f>'Exh 5 Stores IS'!M46/'Exh 5 Stores IS'!M44</f>
        <v>0.16904791485484738</v>
      </c>
      <c r="F32" s="39">
        <f>'Exh 5 Stores IS'!N46/'Exh 5 Stores IS'!N44</f>
        <v>0.13424145529965864</v>
      </c>
      <c r="G32" s="38"/>
      <c r="H32" s="38"/>
      <c r="I32" s="38"/>
    </row>
    <row r="33" spans="1:11" x14ac:dyDescent="0.25">
      <c r="B33" s="72">
        <v>2009</v>
      </c>
      <c r="C33" s="38">
        <f>'Exh 5 Stores IS'!L54/'Exh 5 Stores IS'!L52</f>
        <v>0.17872547655489074</v>
      </c>
      <c r="D33" s="38">
        <f>'Exh 5 Stores IS'!M54/'Exh 5 Stores IS'!M52</f>
        <v>0.19156828334396939</v>
      </c>
      <c r="E33" s="38">
        <f>'Exh 5 Stores IS'!N54/'Exh 5 Stores IS'!N52</f>
        <v>0.17372390610434735</v>
      </c>
      <c r="F33" s="38"/>
      <c r="G33" s="39"/>
      <c r="H33" s="39"/>
      <c r="I33" s="39"/>
    </row>
    <row r="34" spans="1:11" x14ac:dyDescent="0.25">
      <c r="B34" s="72">
        <v>2010</v>
      </c>
      <c r="C34" s="39">
        <f>'Exh 5 Stores IS'!M62/'Exh 5 Stores IS'!M60</f>
        <v>0.20703527612461353</v>
      </c>
      <c r="D34" s="39">
        <f>'Exh 5 Stores IS'!N62/'Exh 5 Stores IS'!N60</f>
        <v>0.19396226415094339</v>
      </c>
      <c r="E34" s="39"/>
      <c r="F34" s="39"/>
      <c r="G34" s="39"/>
      <c r="H34" s="39"/>
      <c r="I34" s="39"/>
    </row>
    <row r="35" spans="1:11" x14ac:dyDescent="0.25">
      <c r="B35" s="91">
        <v>2011</v>
      </c>
      <c r="C35" s="97">
        <f>'Exh 5 Stores IS'!N70/'Exh 5 Stores IS'!N68</f>
        <v>0.20899305244953337</v>
      </c>
      <c r="D35" s="97"/>
      <c r="E35" s="97"/>
      <c r="F35" s="97"/>
      <c r="G35" s="39"/>
      <c r="H35" s="39"/>
      <c r="I35" s="39"/>
    </row>
    <row r="36" spans="1:11" x14ac:dyDescent="0.25">
      <c r="B36" s="72" t="s">
        <v>3</v>
      </c>
      <c r="C36" s="39">
        <f t="shared" ref="C36:E36" si="2">AVERAGE(C27:C35)</f>
        <v>0.19320951444580303</v>
      </c>
      <c r="D36" s="39">
        <f t="shared" si="2"/>
        <v>0.18315169278133295</v>
      </c>
      <c r="E36" s="39">
        <f t="shared" si="2"/>
        <v>0.17284574718464732</v>
      </c>
      <c r="F36" s="39">
        <f>AVERAGE(F27:K35)</f>
        <v>0.13599141768049752</v>
      </c>
      <c r="G36" s="39"/>
      <c r="H36" s="39"/>
      <c r="I36" s="39"/>
    </row>
    <row r="37" spans="1:11" x14ac:dyDescent="0.25">
      <c r="B37" s="72"/>
      <c r="C37" s="39"/>
      <c r="D37" s="39"/>
      <c r="E37" s="39"/>
      <c r="F37" s="39"/>
      <c r="G37" s="39"/>
      <c r="H37" s="39"/>
      <c r="I37" s="39"/>
    </row>
    <row r="38" spans="1:11" x14ac:dyDescent="0.25">
      <c r="B38" s="91" t="s">
        <v>20</v>
      </c>
      <c r="C38" s="4">
        <v>1</v>
      </c>
      <c r="D38" s="4">
        <v>2</v>
      </c>
      <c r="E38" s="4">
        <v>3</v>
      </c>
      <c r="F38" s="4">
        <v>4</v>
      </c>
      <c r="G38" s="4">
        <v>5</v>
      </c>
      <c r="H38" s="4">
        <v>6</v>
      </c>
      <c r="I38" s="4">
        <v>7</v>
      </c>
      <c r="J38" s="4">
        <v>8</v>
      </c>
      <c r="K38" s="4">
        <v>9</v>
      </c>
    </row>
    <row r="39" spans="1:11" x14ac:dyDescent="0.25">
      <c r="A39" t="s">
        <v>55</v>
      </c>
      <c r="B39" s="94">
        <v>2003</v>
      </c>
      <c r="C39" s="38">
        <f>'Exh 5 Stores IS'!F7/'Exh 5 Stores IS'!F4</f>
        <v>9.8905908096280096E-2</v>
      </c>
      <c r="D39" s="38">
        <f>'Exh 5 Stores IS'!G7/'Exh 5 Stores IS'!G4</f>
        <v>8.8998401704848171E-2</v>
      </c>
      <c r="E39" s="38">
        <f>'Exh 5 Stores IS'!H7/'Exh 5 Stores IS'!H4</f>
        <v>7.6442997989853545E-2</v>
      </c>
      <c r="F39" s="38">
        <f>'Exh 5 Stores IS'!I7/'Exh 5 Stores IS'!I4</f>
        <v>7.0609476406577859E-2</v>
      </c>
      <c r="G39" s="38">
        <f>'Exh 5 Stores IS'!J7/'Exh 5 Stores IS'!J4</f>
        <v>6.6535246806497389E-2</v>
      </c>
      <c r="H39" s="38">
        <f>'Exh 5 Stores IS'!K7/'Exh 5 Stores IS'!K4</f>
        <v>7.6848991459204069E-2</v>
      </c>
      <c r="I39" s="38">
        <f>'Exh 5 Stores IS'!L7/'Exh 5 Stores IS'!L4</f>
        <v>6.9381598793363503E-2</v>
      </c>
      <c r="J39" s="38">
        <f>'Exh 5 Stores IS'!M7/'Exh 5 Stores IS'!M4</f>
        <v>6.8335888264350192E-2</v>
      </c>
      <c r="K39" s="38">
        <f>'Exh 5 Stores IS'!N7/'Exh 5 Stores IS'!N4</f>
        <v>7.5737487570434206E-2</v>
      </c>
    </row>
    <row r="40" spans="1:11" x14ac:dyDescent="0.25">
      <c r="B40" s="94">
        <v>2004</v>
      </c>
      <c r="C40" s="39">
        <f>'Exh 5 Stores IS'!G15/'Exh 5 Stores IS'!G12</f>
        <v>0.10277736075664315</v>
      </c>
      <c r="D40" s="39">
        <f>'Exh 5 Stores IS'!H15/'Exh 5 Stores IS'!H12</f>
        <v>8.1512336866150462E-2</v>
      </c>
      <c r="E40" s="39">
        <f>'Exh 5 Stores IS'!I15/'Exh 5 Stores IS'!I12</f>
        <v>8.3494966287983738E-2</v>
      </c>
      <c r="F40" s="39">
        <f>'Exh 5 Stores IS'!J15/'Exh 5 Stores IS'!J12</f>
        <v>7.3570887035633054E-2</v>
      </c>
      <c r="G40" s="39">
        <f>'Exh 5 Stores IS'!K15/'Exh 5 Stores IS'!K12</f>
        <v>7.9958046304449165E-2</v>
      </c>
      <c r="H40" s="39">
        <f>'Exh 5 Stores IS'!L15/'Exh 5 Stores IS'!L12</f>
        <v>7.6665039876940566E-2</v>
      </c>
      <c r="I40" s="39">
        <f>'Exh 5 Stores IS'!M15/'Exh 5 Stores IS'!M12</f>
        <v>7.2053197830880433E-2</v>
      </c>
      <c r="J40" s="39">
        <f>'Exh 5 Stores IS'!N15/'Exh 5 Stores IS'!N12</f>
        <v>7.2026191342306298E-2</v>
      </c>
      <c r="K40" s="39"/>
    </row>
    <row r="41" spans="1:11" x14ac:dyDescent="0.25">
      <c r="B41" s="94">
        <v>2005</v>
      </c>
      <c r="C41" s="39">
        <f>'Exh 5 Stores IS'!H23/'Exh 5 Stores IS'!H20</f>
        <v>0.10877038987638066</v>
      </c>
      <c r="D41" s="39">
        <f>'Exh 5 Stores IS'!I23/'Exh 5 Stores IS'!I20</f>
        <v>8.9339979580805959E-2</v>
      </c>
      <c r="E41" s="39">
        <f>'Exh 5 Stores IS'!J23/'Exh 5 Stores IS'!J20</f>
        <v>8.0221985231310439E-2</v>
      </c>
      <c r="F41" s="39">
        <f>'Exh 5 Stores IS'!K23/'Exh 5 Stores IS'!K20</f>
        <v>7.6274665164720826E-2</v>
      </c>
      <c r="G41" s="39">
        <f>'Exh 5 Stores IS'!L23/'Exh 5 Stores IS'!L20</f>
        <v>7.0267431172582842E-2</v>
      </c>
      <c r="H41" s="39">
        <f>'Exh 5 Stores IS'!M23/'Exh 5 Stores IS'!M20</f>
        <v>6.7277687119901508E-2</v>
      </c>
      <c r="I41" s="39">
        <f>'Exh 5 Stores IS'!N23/'Exh 5 Stores IS'!N20</f>
        <v>7.3201792696964002E-2</v>
      </c>
    </row>
    <row r="42" spans="1:11" x14ac:dyDescent="0.25">
      <c r="B42" s="94">
        <v>2006</v>
      </c>
      <c r="C42" s="38">
        <f>'Exh 5 Stores IS'!I31/'Exh 5 Stores IS'!I28</f>
        <v>0.10308549720604585</v>
      </c>
      <c r="D42" s="38">
        <f>'Exh 5 Stores IS'!J31/'Exh 5 Stores IS'!J28</f>
        <v>8.4386529183615541E-2</v>
      </c>
      <c r="E42" s="38">
        <f>'Exh 5 Stores IS'!K31/'Exh 5 Stores IS'!K28</f>
        <v>8.3238670080195309E-2</v>
      </c>
      <c r="F42" s="38">
        <f>'Exh 5 Stores IS'!L31/'Exh 5 Stores IS'!L28</f>
        <v>6.7800376406896526E-2</v>
      </c>
      <c r="G42" s="38">
        <f>'Exh 5 Stores IS'!M31/'Exh 5 Stores IS'!M28</f>
        <v>6.8238660853298466E-2</v>
      </c>
      <c r="H42" s="38">
        <f>'Exh 5 Stores IS'!N31/'Exh 5 Stores IS'!N28</f>
        <v>6.5681713760624857E-2</v>
      </c>
      <c r="I42" s="38"/>
    </row>
    <row r="43" spans="1:11" x14ac:dyDescent="0.25">
      <c r="B43" s="94">
        <v>2007</v>
      </c>
      <c r="C43" s="39">
        <f>'Exh 5 Stores IS'!J39/'Exh 5 Stores IS'!J36</f>
        <v>0.10225844487347267</v>
      </c>
      <c r="D43" s="39">
        <f>'Exh 5 Stores IS'!K39/'Exh 5 Stores IS'!K36</f>
        <v>9.0282259897277395E-2</v>
      </c>
      <c r="E43" s="39">
        <f>'Exh 5 Stores IS'!L39/'Exh 5 Stores IS'!L36</f>
        <v>8.0693496663482772E-2</v>
      </c>
      <c r="F43" s="39">
        <f>'Exh 5 Stores IS'!M39/'Exh 5 Stores IS'!M36</f>
        <v>6.9344557663482076E-2</v>
      </c>
      <c r="G43" s="39">
        <f>'Exh 5 Stores IS'!N39/'Exh 5 Stores IS'!N36</f>
        <v>7.1413150823361887E-2</v>
      </c>
      <c r="H43" s="39"/>
      <c r="I43" s="39"/>
    </row>
    <row r="44" spans="1:11" x14ac:dyDescent="0.25">
      <c r="B44" s="94">
        <v>2008</v>
      </c>
      <c r="C44" s="39">
        <f>'Exh 5 Stores IS'!K47/'Exh 5 Stores IS'!K44</f>
        <v>0.10228734586301026</v>
      </c>
      <c r="D44" s="39">
        <f>'Exh 5 Stores IS'!L47/'Exh 5 Stores IS'!L44</f>
        <v>9.6406491499227198E-2</v>
      </c>
      <c r="E44" s="39">
        <f>'Exh 5 Stores IS'!M47/'Exh 5 Stores IS'!M44</f>
        <v>8.2605154539556316E-2</v>
      </c>
      <c r="F44" s="39">
        <f>'Exh 5 Stores IS'!N47/'Exh 5 Stores IS'!N44</f>
        <v>7.2959426176381625E-2</v>
      </c>
      <c r="G44" s="39"/>
      <c r="H44" s="39"/>
      <c r="I44" s="39"/>
    </row>
    <row r="45" spans="1:11" x14ac:dyDescent="0.25">
      <c r="B45" s="94">
        <v>2009</v>
      </c>
      <c r="C45" s="38">
        <f>'Exh 5 Stores IS'!L55/'Exh 5 Stores IS'!L52</f>
        <v>0.1099206901349659</v>
      </c>
      <c r="D45" s="38">
        <f>'Exh 5 Stores IS'!M55/'Exh 5 Stores IS'!M52</f>
        <v>9.061901723037652E-2</v>
      </c>
      <c r="E45" s="38">
        <f>'Exh 5 Stores IS'!N55/'Exh 5 Stores IS'!N52</f>
        <v>8.5619050309313299E-2</v>
      </c>
      <c r="F45" s="38"/>
      <c r="G45" s="38"/>
      <c r="H45" s="38"/>
      <c r="I45" s="38"/>
    </row>
    <row r="46" spans="1:11" x14ac:dyDescent="0.25">
      <c r="B46" s="94">
        <v>2010</v>
      </c>
      <c r="C46" s="39">
        <f>'Exh 5 Stores IS'!M63/'Exh 5 Stores IS'!M60</f>
        <v>0.11733218073611065</v>
      </c>
      <c r="D46" s="39">
        <f>'Exh 5 Stores IS'!N63/'Exh 5 Stores IS'!N60</f>
        <v>8.920754716981133E-2</v>
      </c>
      <c r="E46" s="39"/>
      <c r="F46" s="39"/>
      <c r="G46" s="39"/>
      <c r="H46" s="39"/>
      <c r="I46" s="39"/>
    </row>
    <row r="47" spans="1:11" x14ac:dyDescent="0.25">
      <c r="B47" s="96">
        <v>2011</v>
      </c>
      <c r="C47" s="97">
        <f>'Exh 5 Stores IS'!N71/'Exh 5 Stores IS'!N68</f>
        <v>0.10683722455795093</v>
      </c>
      <c r="D47" s="97"/>
      <c r="E47" s="97"/>
      <c r="F47" s="97"/>
      <c r="G47" s="39"/>
      <c r="H47" s="39"/>
      <c r="I47" s="39"/>
    </row>
    <row r="48" spans="1:11" x14ac:dyDescent="0.25">
      <c r="B48" s="72" t="s">
        <v>3</v>
      </c>
      <c r="C48" s="39">
        <f t="shared" ref="C48:E48" si="3">AVERAGE(C39:C47)</f>
        <v>0.10579722690009558</v>
      </c>
      <c r="D48" s="39">
        <f t="shared" si="3"/>
        <v>8.8844070391514068E-2</v>
      </c>
      <c r="E48" s="39">
        <f t="shared" si="3"/>
        <v>8.1759474443099348E-2</v>
      </c>
      <c r="F48" s="39">
        <f>AVERAGE(F39:K47)</f>
        <v>7.1627691120421513E-2</v>
      </c>
      <c r="G48" s="39"/>
      <c r="H48" s="39"/>
      <c r="I48" s="39"/>
    </row>
    <row r="50" spans="2:12" x14ac:dyDescent="0.25">
      <c r="B50" s="37"/>
      <c r="C50" s="6"/>
      <c r="D50" s="6"/>
      <c r="E50" s="6"/>
      <c r="F50" s="6"/>
      <c r="G50" s="6"/>
      <c r="H50" s="6"/>
      <c r="I50" s="6"/>
    </row>
    <row r="51" spans="2:12" x14ac:dyDescent="0.25">
      <c r="B51" s="37"/>
      <c r="C51" s="6"/>
      <c r="D51" s="6"/>
      <c r="E51" s="6"/>
      <c r="F51" s="6"/>
      <c r="G51" s="6"/>
      <c r="H51" s="6"/>
      <c r="I51" s="6"/>
      <c r="L51" s="32"/>
    </row>
    <row r="52" spans="2:12" x14ac:dyDescent="0.25">
      <c r="B52" s="37"/>
      <c r="C52" s="6"/>
      <c r="D52" s="6"/>
      <c r="E52" s="6"/>
      <c r="F52" s="6"/>
      <c r="G52" s="6"/>
      <c r="H52" s="6"/>
      <c r="I52" s="6"/>
    </row>
    <row r="53" spans="2:12" x14ac:dyDescent="0.25">
      <c r="B53" s="37"/>
      <c r="C53" s="6"/>
      <c r="D53" s="6"/>
      <c r="E53" s="6"/>
      <c r="F53" s="6"/>
      <c r="G53" s="6"/>
      <c r="H53" s="6"/>
      <c r="I53" s="6"/>
    </row>
    <row r="54" spans="2:12" x14ac:dyDescent="0.25">
      <c r="B54" s="37"/>
      <c r="C54" s="6"/>
      <c r="D54" s="6"/>
      <c r="E54" s="6"/>
      <c r="F54" s="6"/>
      <c r="G54" s="6"/>
      <c r="H54" s="6"/>
      <c r="I54" s="6"/>
    </row>
    <row r="55" spans="2:12" x14ac:dyDescent="0.25">
      <c r="B55" s="37"/>
      <c r="C55" s="6"/>
      <c r="D55" s="6"/>
      <c r="E55" s="6"/>
      <c r="F55" s="6"/>
      <c r="G55" s="6"/>
      <c r="H55" s="6"/>
      <c r="I55" s="6"/>
    </row>
    <row r="56" spans="2:12" x14ac:dyDescent="0.25">
      <c r="B56" s="37"/>
      <c r="C56" s="6"/>
      <c r="D56" s="6"/>
      <c r="E56" s="6"/>
      <c r="F56" s="6"/>
      <c r="G56" s="6"/>
      <c r="H56" s="6"/>
      <c r="I56" s="6"/>
    </row>
    <row r="57" spans="2:12" x14ac:dyDescent="0.25">
      <c r="C57" s="39"/>
      <c r="D57" s="39"/>
      <c r="E57" s="39"/>
      <c r="F57" s="39"/>
      <c r="G57" s="39"/>
      <c r="H57" s="39"/>
      <c r="I57" s="39"/>
    </row>
    <row r="58" spans="2:12" x14ac:dyDescent="0.25">
      <c r="C58" s="6"/>
      <c r="D58" s="36"/>
      <c r="E58" s="36"/>
      <c r="F58" s="36"/>
      <c r="G58" s="36"/>
      <c r="H58" s="36"/>
      <c r="I58" s="36"/>
    </row>
    <row r="59" spans="2:12" x14ac:dyDescent="0.25">
      <c r="C59" s="39"/>
      <c r="D59" s="36"/>
      <c r="E59" s="36"/>
      <c r="F59" s="36"/>
      <c r="G59" s="36"/>
      <c r="H59" s="36"/>
      <c r="I59" s="36"/>
    </row>
    <row r="61" spans="2:12" x14ac:dyDescent="0.25">
      <c r="B61" s="37"/>
      <c r="C61" s="6"/>
      <c r="D61" s="6"/>
      <c r="E61" s="6"/>
      <c r="F61" s="6"/>
      <c r="G61" s="6"/>
      <c r="H61" s="6"/>
      <c r="I61" s="6"/>
      <c r="J61" s="6"/>
      <c r="K61" s="6"/>
      <c r="L61" s="32"/>
    </row>
    <row r="62" spans="2:12" x14ac:dyDescent="0.25">
      <c r="B62" s="37"/>
      <c r="C62" s="6"/>
      <c r="D62" s="6"/>
      <c r="E62" s="6"/>
      <c r="F62" s="6"/>
      <c r="G62" s="6"/>
      <c r="H62" s="6"/>
      <c r="I62" s="6"/>
      <c r="J62" s="6"/>
      <c r="K62" s="6"/>
    </row>
    <row r="63" spans="2:12" x14ac:dyDescent="0.25">
      <c r="B63" s="37"/>
      <c r="C63" s="6"/>
      <c r="D63" s="6"/>
      <c r="E63" s="6"/>
      <c r="F63" s="6"/>
      <c r="G63" s="6"/>
      <c r="H63" s="6"/>
      <c r="I63" s="6"/>
    </row>
    <row r="64" spans="2:12" x14ac:dyDescent="0.25">
      <c r="B64" s="37"/>
      <c r="C64" s="6"/>
      <c r="D64" s="6"/>
      <c r="E64" s="6"/>
      <c r="F64" s="6"/>
      <c r="G64" s="6"/>
      <c r="H64" s="6"/>
      <c r="I64" s="6"/>
    </row>
    <row r="65" spans="2:11" x14ac:dyDescent="0.25">
      <c r="B65" s="37"/>
      <c r="C65" s="6"/>
      <c r="D65" s="6"/>
      <c r="E65" s="6"/>
      <c r="F65" s="6"/>
      <c r="G65" s="6"/>
      <c r="H65" s="6"/>
      <c r="I65" s="6"/>
    </row>
    <row r="66" spans="2:11" x14ac:dyDescent="0.25">
      <c r="B66" s="37"/>
      <c r="C66" s="6"/>
      <c r="D66" s="6"/>
      <c r="E66" s="6"/>
      <c r="F66" s="6"/>
      <c r="G66" s="6"/>
      <c r="H66" s="6"/>
      <c r="I66" s="6"/>
    </row>
    <row r="67" spans="2:11" x14ac:dyDescent="0.25">
      <c r="B67" s="37"/>
      <c r="C67" s="6"/>
      <c r="D67" s="6"/>
      <c r="E67" s="6"/>
      <c r="F67" s="6"/>
      <c r="G67" s="6"/>
      <c r="H67" s="6"/>
      <c r="I67" s="6"/>
    </row>
    <row r="68" spans="2:11" x14ac:dyDescent="0.25">
      <c r="B68" s="37"/>
      <c r="C68" s="6"/>
      <c r="D68" s="6"/>
      <c r="E68" s="6"/>
      <c r="F68" s="6"/>
      <c r="G68" s="6"/>
      <c r="H68" s="6"/>
      <c r="I68" s="6"/>
    </row>
    <row r="69" spans="2:11" x14ac:dyDescent="0.25">
      <c r="B69" s="37"/>
      <c r="C69" s="6"/>
      <c r="D69" s="6"/>
      <c r="E69" s="6"/>
      <c r="F69" s="6"/>
      <c r="G69" s="6"/>
      <c r="H69" s="6"/>
      <c r="I69" s="6"/>
    </row>
    <row r="70" spans="2:11" x14ac:dyDescent="0.25">
      <c r="C70" s="39"/>
      <c r="D70" s="39"/>
      <c r="E70" s="39"/>
      <c r="F70" s="39"/>
      <c r="G70" s="39"/>
      <c r="H70" s="39"/>
      <c r="I70" s="39"/>
    </row>
    <row r="71" spans="2:11" x14ac:dyDescent="0.25">
      <c r="C71" s="6"/>
      <c r="D71" s="36"/>
      <c r="E71" s="36"/>
      <c r="F71" s="36"/>
      <c r="G71" s="36"/>
      <c r="H71" s="36"/>
      <c r="I71" s="36"/>
    </row>
    <row r="72" spans="2:11" x14ac:dyDescent="0.25">
      <c r="C72" s="6"/>
      <c r="D72" s="36"/>
      <c r="E72" s="36"/>
      <c r="F72" s="36"/>
      <c r="G72" s="36"/>
      <c r="H72" s="36"/>
      <c r="I72" s="36"/>
    </row>
    <row r="74" spans="2:11" x14ac:dyDescent="0.25">
      <c r="B74" s="37"/>
      <c r="C74" s="39"/>
      <c r="D74" s="39"/>
      <c r="E74" s="39"/>
      <c r="F74" s="39"/>
      <c r="G74" s="39"/>
      <c r="H74" s="39"/>
      <c r="I74" s="39"/>
      <c r="J74" s="39"/>
      <c r="K74" s="39"/>
    </row>
    <row r="75" spans="2:11" x14ac:dyDescent="0.25">
      <c r="B75" s="37"/>
      <c r="C75" s="39"/>
      <c r="D75" s="39"/>
      <c r="E75" s="39"/>
      <c r="F75" s="39"/>
      <c r="G75" s="39"/>
      <c r="H75" s="39"/>
      <c r="I75" s="39"/>
      <c r="J75" s="39"/>
      <c r="K75" s="39"/>
    </row>
    <row r="76" spans="2:11" x14ac:dyDescent="0.25">
      <c r="B76" s="37"/>
      <c r="C76" s="39"/>
      <c r="D76" s="39"/>
      <c r="E76" s="39"/>
      <c r="F76" s="39"/>
      <c r="G76" s="39"/>
      <c r="H76" s="39"/>
      <c r="I76" s="39"/>
    </row>
    <row r="77" spans="2:11" x14ac:dyDescent="0.25">
      <c r="B77" s="37"/>
      <c r="C77" s="39"/>
      <c r="D77" s="39"/>
      <c r="E77" s="39"/>
      <c r="F77" s="39"/>
      <c r="G77" s="39"/>
      <c r="H77" s="39"/>
      <c r="I77" s="39"/>
    </row>
    <row r="78" spans="2:11" x14ac:dyDescent="0.25">
      <c r="B78" s="37"/>
      <c r="C78" s="39"/>
      <c r="D78" s="39"/>
      <c r="E78" s="39"/>
      <c r="F78" s="39"/>
      <c r="G78" s="39"/>
      <c r="H78" s="39"/>
      <c r="I78" s="39"/>
    </row>
    <row r="79" spans="2:11" x14ac:dyDescent="0.25">
      <c r="B79" s="37"/>
      <c r="C79" s="39"/>
      <c r="D79" s="39"/>
      <c r="E79" s="39"/>
      <c r="F79" s="39"/>
      <c r="G79" s="39"/>
      <c r="H79" s="39"/>
      <c r="I79" s="39"/>
    </row>
    <row r="80" spans="2:11" x14ac:dyDescent="0.25">
      <c r="B80" s="37"/>
      <c r="C80" s="39"/>
      <c r="D80" s="39"/>
      <c r="E80" s="39"/>
      <c r="F80" s="39"/>
      <c r="G80" s="39"/>
      <c r="H80" s="39"/>
      <c r="I80" s="39"/>
    </row>
    <row r="81" spans="2:12" x14ac:dyDescent="0.25">
      <c r="B81" s="37"/>
      <c r="C81" s="39"/>
      <c r="D81" s="39"/>
      <c r="E81" s="39"/>
      <c r="F81" s="39"/>
      <c r="G81" s="39"/>
      <c r="H81" s="39"/>
      <c r="I81" s="39"/>
    </row>
    <row r="82" spans="2:12" x14ac:dyDescent="0.25">
      <c r="B82" s="37"/>
      <c r="C82" s="39"/>
      <c r="D82" s="39"/>
      <c r="E82" s="39"/>
      <c r="F82" s="39"/>
      <c r="G82" s="39"/>
      <c r="H82" s="39"/>
      <c r="I82" s="39"/>
    </row>
    <row r="83" spans="2:12" x14ac:dyDescent="0.25">
      <c r="C83" s="39"/>
      <c r="D83" s="39"/>
      <c r="E83" s="39"/>
      <c r="F83" s="39"/>
      <c r="G83" s="39"/>
      <c r="H83" s="39"/>
      <c r="I83" s="39"/>
    </row>
    <row r="84" spans="2:12" x14ac:dyDescent="0.25">
      <c r="C84" s="6"/>
      <c r="D84" s="36"/>
      <c r="E84" s="36"/>
      <c r="F84" s="36"/>
      <c r="G84" s="36"/>
      <c r="H84" s="36"/>
      <c r="I84" s="36"/>
    </row>
    <row r="85" spans="2:12" x14ac:dyDescent="0.25">
      <c r="C85" s="6"/>
    </row>
    <row r="88" spans="2:12" x14ac:dyDescent="0.25">
      <c r="C88" s="6"/>
      <c r="D88" s="45"/>
      <c r="E88" s="3"/>
      <c r="G88" s="6"/>
    </row>
    <row r="89" spans="2:12" x14ac:dyDescent="0.25">
      <c r="C89" s="6"/>
      <c r="D89" s="45"/>
      <c r="E89" s="3"/>
      <c r="G89" s="6"/>
    </row>
    <row r="90" spans="2:12" x14ac:dyDescent="0.25">
      <c r="E90" s="5"/>
    </row>
    <row r="92" spans="2:12" x14ac:dyDescent="0.25">
      <c r="B92" s="37"/>
      <c r="C92" s="9"/>
      <c r="D92" s="45"/>
      <c r="E92" s="9"/>
      <c r="K92" s="45"/>
      <c r="L92" s="9"/>
    </row>
    <row r="93" spans="2:12" x14ac:dyDescent="0.25">
      <c r="B93" s="37"/>
      <c r="C93" s="9"/>
      <c r="D93" s="45"/>
      <c r="E93" s="9"/>
      <c r="K93" s="45"/>
      <c r="L93" s="9"/>
    </row>
    <row r="94" spans="2:12" x14ac:dyDescent="0.25">
      <c r="B94" s="37"/>
      <c r="C94" s="9"/>
      <c r="D94" s="45"/>
      <c r="E94" s="9"/>
      <c r="K94" s="45"/>
      <c r="L94" s="9"/>
    </row>
    <row r="95" spans="2:12" x14ac:dyDescent="0.25">
      <c r="B95" s="37"/>
      <c r="C95" s="9"/>
      <c r="D95" s="45"/>
      <c r="E95" s="9"/>
      <c r="K95" s="45"/>
      <c r="L95" s="9"/>
    </row>
    <row r="96" spans="2:12" x14ac:dyDescent="0.25">
      <c r="B96" s="37"/>
      <c r="C96" s="9"/>
      <c r="D96" s="45"/>
      <c r="E96" s="9"/>
      <c r="K96" s="45"/>
      <c r="L96" s="9"/>
    </row>
    <row r="97" spans="2:12" x14ac:dyDescent="0.25">
      <c r="B97" s="37"/>
      <c r="C97" s="9"/>
      <c r="D97" s="45"/>
      <c r="E97" s="9"/>
      <c r="K97" s="45"/>
      <c r="L97" s="9"/>
    </row>
    <row r="98" spans="2:12" x14ac:dyDescent="0.25">
      <c r="B98" s="37"/>
      <c r="C98" s="9"/>
      <c r="D98" s="45"/>
      <c r="E98" s="9"/>
      <c r="K98" s="45"/>
      <c r="L98" s="9"/>
    </row>
    <row r="99" spans="2:12" x14ac:dyDescent="0.25">
      <c r="B99" s="37"/>
      <c r="C99" s="9"/>
      <c r="D99" s="45"/>
      <c r="E99" s="9"/>
      <c r="K99" s="45"/>
      <c r="L99" s="9"/>
    </row>
    <row r="100" spans="2:12" x14ac:dyDescent="0.25">
      <c r="B100" s="37"/>
      <c r="C100" s="9"/>
      <c r="D100" s="45"/>
      <c r="E100" s="9"/>
      <c r="K100" s="45"/>
      <c r="L100" s="9"/>
    </row>
    <row r="101" spans="2:12" x14ac:dyDescent="0.25">
      <c r="B101" s="37"/>
      <c r="C101" s="9"/>
      <c r="D101" s="45"/>
      <c r="E101" s="9"/>
      <c r="K101" s="45"/>
      <c r="L101" s="9"/>
    </row>
    <row r="102" spans="2:12" x14ac:dyDescent="0.25">
      <c r="B102" s="37"/>
      <c r="C102" s="9"/>
      <c r="D102" s="45"/>
      <c r="E102" s="9"/>
      <c r="K102" s="45"/>
      <c r="L102" s="9"/>
    </row>
    <row r="103" spans="2:12" x14ac:dyDescent="0.25">
      <c r="B103" s="37"/>
      <c r="C103" s="9"/>
      <c r="D103" s="45"/>
      <c r="E103" s="9"/>
      <c r="K103" s="45"/>
      <c r="L103" s="9"/>
    </row>
    <row r="104" spans="2:12" x14ac:dyDescent="0.25">
      <c r="B104" s="37"/>
      <c r="C104" s="9"/>
      <c r="D104" s="45"/>
      <c r="E104" s="9"/>
      <c r="K104" s="45"/>
      <c r="L104" s="9"/>
    </row>
    <row r="105" spans="2:12" x14ac:dyDescent="0.25">
      <c r="B105" s="37"/>
      <c r="C105" s="9"/>
      <c r="D105" s="45"/>
      <c r="E105" s="9"/>
      <c r="K105" s="45"/>
      <c r="L105" s="9"/>
    </row>
    <row r="106" spans="2:12" x14ac:dyDescent="0.25">
      <c r="B106" s="37"/>
      <c r="D106" s="45"/>
      <c r="E106" s="9"/>
    </row>
    <row r="107" spans="2:12" x14ac:dyDescent="0.25">
      <c r="B107" s="37"/>
      <c r="C107" s="9"/>
      <c r="D107" s="45"/>
      <c r="E107" s="9"/>
      <c r="J107" s="45"/>
      <c r="K107" s="9"/>
    </row>
    <row r="108" spans="2:12" x14ac:dyDescent="0.25">
      <c r="B108" s="37"/>
      <c r="C108" s="9"/>
      <c r="D108" s="45"/>
      <c r="E108" s="9"/>
      <c r="J108" s="45"/>
      <c r="K108" s="9"/>
    </row>
    <row r="109" spans="2:12" x14ac:dyDescent="0.25">
      <c r="B109" s="37"/>
      <c r="C109" s="9"/>
      <c r="D109" s="45"/>
      <c r="E109" s="9"/>
      <c r="J109" s="45"/>
      <c r="K109" s="9"/>
    </row>
    <row r="110" spans="2:12" x14ac:dyDescent="0.25">
      <c r="B110" s="37"/>
      <c r="C110" s="9"/>
      <c r="D110" s="45"/>
      <c r="E110" s="9"/>
      <c r="J110" s="45"/>
      <c r="K110" s="9"/>
    </row>
    <row r="111" spans="2:12" x14ac:dyDescent="0.25">
      <c r="B111" s="37"/>
      <c r="C111" s="9"/>
      <c r="D111" s="45"/>
      <c r="E111" s="9"/>
      <c r="J111" s="45"/>
      <c r="K111" s="9"/>
    </row>
    <row r="112" spans="2:12" x14ac:dyDescent="0.25">
      <c r="B112" s="37"/>
      <c r="C112" s="9"/>
      <c r="D112" s="45"/>
      <c r="E112" s="9"/>
      <c r="J112" s="45"/>
      <c r="K112" s="9"/>
    </row>
    <row r="113" spans="2:11" x14ac:dyDescent="0.25">
      <c r="B113" s="37"/>
      <c r="C113" s="9"/>
      <c r="D113" s="45"/>
      <c r="E113" s="9"/>
      <c r="J113" s="45"/>
      <c r="K113" s="9"/>
    </row>
    <row r="114" spans="2:11" x14ac:dyDescent="0.25">
      <c r="B114" s="37"/>
      <c r="C114" s="9"/>
      <c r="D114" s="45"/>
      <c r="E114" s="9"/>
      <c r="J114" s="45"/>
      <c r="K114" s="9"/>
    </row>
    <row r="115" spans="2:11" x14ac:dyDescent="0.25">
      <c r="B115" s="37"/>
      <c r="C115" s="9"/>
      <c r="D115" s="45"/>
      <c r="E115" s="9"/>
      <c r="J115" s="45"/>
      <c r="K115" s="9"/>
    </row>
    <row r="116" spans="2:11" x14ac:dyDescent="0.25">
      <c r="B116" s="37"/>
      <c r="C116" s="9"/>
      <c r="D116" s="45"/>
      <c r="E116" s="9"/>
      <c r="J116" s="45"/>
      <c r="K116" s="9"/>
    </row>
    <row r="117" spans="2:11" x14ac:dyDescent="0.25">
      <c r="B117" s="37"/>
      <c r="C117" s="9"/>
      <c r="D117" s="45"/>
      <c r="E117" s="9"/>
      <c r="J117" s="45"/>
      <c r="K117" s="9"/>
    </row>
    <row r="118" spans="2:11" x14ac:dyDescent="0.25">
      <c r="B118" s="37"/>
      <c r="C118" s="9"/>
      <c r="D118" s="45"/>
      <c r="E118" s="9"/>
      <c r="J118" s="45"/>
      <c r="K118" s="9"/>
    </row>
    <row r="119" spans="2:11" x14ac:dyDescent="0.25">
      <c r="B119" s="37"/>
      <c r="C119" s="9"/>
      <c r="D119" s="45"/>
      <c r="E119" s="9"/>
      <c r="J119" s="45"/>
      <c r="K119" s="9"/>
    </row>
    <row r="121" spans="2:11" x14ac:dyDescent="0.25">
      <c r="B121" s="5"/>
    </row>
    <row r="123" spans="2:11" x14ac:dyDescent="0.25">
      <c r="B123" s="37"/>
      <c r="C123" s="9"/>
      <c r="D123" s="45"/>
      <c r="E123" s="9"/>
    </row>
    <row r="124" spans="2:11" x14ac:dyDescent="0.25">
      <c r="B124" s="37"/>
      <c r="C124" s="9"/>
      <c r="D124" s="45"/>
      <c r="E124" s="9"/>
    </row>
    <row r="125" spans="2:11" x14ac:dyDescent="0.25">
      <c r="B125" s="37"/>
      <c r="C125" s="9"/>
      <c r="D125" s="45"/>
      <c r="E125" s="9"/>
    </row>
    <row r="126" spans="2:11" x14ac:dyDescent="0.25">
      <c r="B126" s="37"/>
      <c r="C126" s="9"/>
      <c r="D126" s="45"/>
      <c r="E126" s="9"/>
    </row>
    <row r="127" spans="2:11" x14ac:dyDescent="0.25">
      <c r="B127" s="37"/>
      <c r="C127" s="9"/>
      <c r="D127" s="45"/>
      <c r="E127" s="9"/>
    </row>
    <row r="128" spans="2:11" x14ac:dyDescent="0.25">
      <c r="B128" s="37"/>
      <c r="C128" s="9"/>
      <c r="D128" s="45"/>
      <c r="E128" s="9"/>
    </row>
    <row r="129" spans="2:8" x14ac:dyDescent="0.25">
      <c r="B129" s="37"/>
      <c r="C129" s="9"/>
      <c r="D129" s="45"/>
      <c r="E129" s="9"/>
    </row>
    <row r="130" spans="2:8" x14ac:dyDescent="0.25">
      <c r="B130" s="37"/>
      <c r="C130" s="9"/>
      <c r="D130" s="45"/>
      <c r="E130" s="9"/>
    </row>
    <row r="131" spans="2:8" x14ac:dyDescent="0.25">
      <c r="B131" s="37"/>
      <c r="C131" s="9"/>
      <c r="D131" s="45"/>
      <c r="E131" s="9"/>
    </row>
    <row r="132" spans="2:8" x14ac:dyDescent="0.25">
      <c r="B132" s="37"/>
      <c r="C132" s="9"/>
      <c r="D132" s="45"/>
      <c r="E132" s="9"/>
      <c r="H132" s="9"/>
    </row>
    <row r="133" spans="2:8" x14ac:dyDescent="0.25">
      <c r="B133" s="37"/>
      <c r="C133" s="9"/>
      <c r="D133" s="45"/>
      <c r="E133" s="9"/>
      <c r="G133" s="6"/>
    </row>
    <row r="134" spans="2:8" x14ac:dyDescent="0.25">
      <c r="B134" s="37"/>
      <c r="C134" s="9"/>
      <c r="D134" s="45"/>
      <c r="E134" s="9"/>
      <c r="G134" s="6"/>
    </row>
    <row r="135" spans="2:8" x14ac:dyDescent="0.25">
      <c r="B135" s="37"/>
      <c r="C135" s="9"/>
      <c r="D135" s="45"/>
      <c r="E135" s="9"/>
      <c r="G135" s="6"/>
    </row>
  </sheetData>
  <pageMargins left="0.7" right="0.7" top="0.75" bottom="0.75" header="0.3" footer="0.3"/>
  <pageSetup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
  <sheetViews>
    <sheetView workbookViewId="0">
      <pane xSplit="2" ySplit="2" topLeftCell="C3" activePane="bottomRight" state="frozen"/>
      <selection pane="topRight"/>
      <selection pane="bottomLeft"/>
      <selection pane="bottomRight"/>
    </sheetView>
  </sheetViews>
  <sheetFormatPr defaultColWidth="8.85546875" defaultRowHeight="15" x14ac:dyDescent="0.25"/>
  <cols>
    <col min="1" max="1" width="19.7109375" customWidth="1"/>
    <col min="2" max="2" width="7.7109375" customWidth="1"/>
    <col min="3" max="11" width="8.7109375" customWidth="1"/>
  </cols>
  <sheetData>
    <row r="1" spans="1:16384" ht="18.75" x14ac:dyDescent="0.3">
      <c r="A1" s="12" t="s">
        <v>60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c r="XFD1" s="12"/>
    </row>
    <row r="2" spans="1:16384" x14ac:dyDescent="0.25">
      <c r="B2" s="72" t="s">
        <v>20</v>
      </c>
      <c r="C2">
        <v>1</v>
      </c>
      <c r="D2">
        <v>2</v>
      </c>
      <c r="E2">
        <v>3</v>
      </c>
      <c r="F2">
        <v>4</v>
      </c>
      <c r="G2">
        <v>5</v>
      </c>
      <c r="H2">
        <v>6</v>
      </c>
      <c r="I2">
        <v>7</v>
      </c>
      <c r="J2">
        <v>8</v>
      </c>
      <c r="K2">
        <v>9</v>
      </c>
    </row>
    <row r="3" spans="1:16384" x14ac:dyDescent="0.25">
      <c r="A3" t="s">
        <v>88</v>
      </c>
      <c r="B3" s="94">
        <v>2003</v>
      </c>
      <c r="C3" s="6">
        <f>'Exh 6 Stores BS'!F5/'Exh 5 Stores IS'!F4</f>
        <v>0.3651835643082908</v>
      </c>
      <c r="D3" s="6">
        <f>'Exh 6 Stores BS'!G5/'Exh 5 Stores IS'!G4</f>
        <v>0.31622396344654552</v>
      </c>
      <c r="E3" s="6">
        <f>'Exh 6 Stores BS'!H5/'Exh 5 Stores IS'!H4</f>
        <v>0.318750562120861</v>
      </c>
      <c r="F3" s="6">
        <f>'Exh 6 Stores BS'!I5/'Exh 5 Stores IS'!I4</f>
        <v>0.32127100828301064</v>
      </c>
      <c r="G3" s="6">
        <f>'Exh 6 Stores BS'!J5/'Exh 5 Stores IS'!J4</f>
        <v>0.32168264635418164</v>
      </c>
      <c r="H3" s="6">
        <f>'Exh 6 Stores BS'!K5/'Exh 5 Stores IS'!K4</f>
        <v>0.30900060844390709</v>
      </c>
      <c r="I3" s="6">
        <f>'Exh 6 Stores BS'!L5/'Exh 5 Stores IS'!L4</f>
        <v>0.30971890047946438</v>
      </c>
      <c r="J3" s="6">
        <f>'Exh 6 Stores BS'!M5/'Exh 5 Stores IS'!M4</f>
        <v>0.29671265542497022</v>
      </c>
      <c r="K3" s="6">
        <f>'Exh 6 Stores BS'!N5/'Exh 5 Stores IS'!N4</f>
        <v>0.31525322226877978</v>
      </c>
    </row>
    <row r="4" spans="1:16384" x14ac:dyDescent="0.25">
      <c r="B4" s="94">
        <v>2004</v>
      </c>
      <c r="C4" s="6">
        <f>'Exh 6 Stores BS'!G13/'Exh 5 Stores IS'!G12</f>
        <v>0.3440297102424042</v>
      </c>
      <c r="D4" s="6">
        <f>'Exh 6 Stores BS'!H13/'Exh 5 Stores IS'!H12</f>
        <v>0.32498128419653227</v>
      </c>
      <c r="E4" s="6">
        <f>'Exh 6 Stores BS'!I13/'Exh 5 Stores IS'!I12</f>
        <v>0.3317771662315368</v>
      </c>
      <c r="F4" s="6">
        <f>'Exh 6 Stores BS'!J13/'Exh 5 Stores IS'!J12</f>
        <v>0.33514968127762029</v>
      </c>
      <c r="G4" s="6">
        <f>'Exh 6 Stores BS'!K13/'Exh 5 Stores IS'!K12</f>
        <v>0.34161521862128763</v>
      </c>
      <c r="H4" s="6">
        <f>'Exh 6 Stores BS'!L13/'Exh 5 Stores IS'!L12</f>
        <v>0.34588477001520562</v>
      </c>
      <c r="I4" s="6">
        <f>'Exh 6 Stores BS'!M13/'Exh 5 Stores IS'!M12</f>
        <v>0.32476193824008226</v>
      </c>
      <c r="J4" s="6">
        <f>'Exh 6 Stores BS'!N13/'Exh 5 Stores IS'!N12</f>
        <v>0.31851398403747139</v>
      </c>
      <c r="K4" s="6"/>
    </row>
    <row r="5" spans="1:16384" x14ac:dyDescent="0.25">
      <c r="B5" s="94">
        <v>2005</v>
      </c>
      <c r="C5" s="6">
        <f>'Exh 6 Stores BS'!H21/'Exh 5 Stores IS'!H20</f>
        <v>0.32814584734496088</v>
      </c>
      <c r="D5" s="6">
        <f>'Exh 6 Stores BS'!I21/'Exh 5 Stores IS'!I20</f>
        <v>0.33081113503236947</v>
      </c>
      <c r="E5" s="6">
        <f>'Exh 6 Stores BS'!J21/'Exh 5 Stores IS'!J20</f>
        <v>0.31823802958119896</v>
      </c>
      <c r="F5" s="6">
        <f>'Exh 6 Stores BS'!K21/'Exh 5 Stores IS'!K20</f>
        <v>0.29740267676158183</v>
      </c>
      <c r="G5" s="6">
        <f>'Exh 6 Stores BS'!L21/'Exh 5 Stores IS'!L20</f>
        <v>0.31291985158100993</v>
      </c>
      <c r="H5" s="6">
        <f>'Exh 6 Stores BS'!M21/'Exh 5 Stores IS'!M20</f>
        <v>0.31699459770815663</v>
      </c>
      <c r="I5" s="6">
        <f>'Exh 6 Stores BS'!N21/'Exh 5 Stores IS'!N20</f>
        <v>0.32448274459199777</v>
      </c>
    </row>
    <row r="6" spans="1:16384" x14ac:dyDescent="0.25">
      <c r="B6" s="94">
        <v>2006</v>
      </c>
      <c r="C6" s="6">
        <f>'Exh 6 Stores BS'!I29/'Exh 5 Stores IS'!I28</f>
        <v>0.32638108418297046</v>
      </c>
      <c r="D6" s="6">
        <f>'Exh 6 Stores BS'!J29/'Exh 5 Stores IS'!J28</f>
        <v>0.31182600094506446</v>
      </c>
      <c r="E6" s="6">
        <f>'Exh 6 Stores BS'!K29/'Exh 5 Stores IS'!K28</f>
        <v>0.33799563424133588</v>
      </c>
      <c r="F6" s="6">
        <f>'Exh 6 Stores BS'!L29/'Exh 5 Stores IS'!L28</f>
        <v>0.33802009717263454</v>
      </c>
      <c r="G6" s="6">
        <f>'Exh 6 Stores BS'!M29/'Exh 5 Stores IS'!M28</f>
        <v>0.31983093321544714</v>
      </c>
      <c r="H6" s="6">
        <f>'Exh 6 Stores BS'!N29/'Exh 5 Stores IS'!N28</f>
        <v>0.33773959081154814</v>
      </c>
      <c r="I6" s="6"/>
    </row>
    <row r="7" spans="1:16384" x14ac:dyDescent="0.25">
      <c r="B7" s="94">
        <v>2007</v>
      </c>
      <c r="C7" s="6">
        <f>'Exh 6 Stores BS'!J37/'Exh 5 Stores IS'!J36</f>
        <v>0.31209959446652019</v>
      </c>
      <c r="D7" s="6">
        <f>'Exh 6 Stores BS'!K37/'Exh 5 Stores IS'!K36</f>
        <v>0.31040059441870255</v>
      </c>
      <c r="E7" s="6">
        <f>'Exh 6 Stores BS'!L37/'Exh 5 Stores IS'!L36</f>
        <v>0.32329537096335548</v>
      </c>
      <c r="F7" s="6">
        <f>'Exh 6 Stores BS'!M37/'Exh 5 Stores IS'!M36</f>
        <v>0.31292005264251616</v>
      </c>
      <c r="G7" s="6">
        <f>'Exh 6 Stores BS'!N37/'Exh 5 Stores IS'!N36</f>
        <v>0.31968855034096244</v>
      </c>
      <c r="H7" s="6"/>
      <c r="I7" s="6"/>
    </row>
    <row r="8" spans="1:16384" x14ac:dyDescent="0.25">
      <c r="B8" s="94">
        <v>2008</v>
      </c>
      <c r="C8" s="6">
        <f>'Exh 6 Stores BS'!K45/'Exh 5 Stores IS'!K44</f>
        <v>0.32890227222475388</v>
      </c>
      <c r="D8" s="6">
        <f>'Exh 6 Stores BS'!L45/'Exh 5 Stores IS'!L44</f>
        <v>0.33965544932705144</v>
      </c>
      <c r="E8" s="6">
        <f>'Exh 6 Stores BS'!M45/'Exh 5 Stores IS'!M44</f>
        <v>0.30539197548831831</v>
      </c>
      <c r="F8" s="6">
        <f>'Exh 6 Stores BS'!N45/'Exh 5 Stores IS'!N44</f>
        <v>0.31384710959740336</v>
      </c>
      <c r="G8" s="6"/>
      <c r="H8" s="6"/>
      <c r="I8" s="6"/>
    </row>
    <row r="9" spans="1:16384" x14ac:dyDescent="0.25">
      <c r="B9" s="94">
        <v>2009</v>
      </c>
      <c r="C9" s="6">
        <f>'Exh 6 Stores BS'!L53/'Exh 5 Stores IS'!L52</f>
        <v>0.3368426036800819</v>
      </c>
      <c r="D9" s="6">
        <f>'Exh 6 Stores BS'!M53/'Exh 5 Stores IS'!M52</f>
        <v>0.33512769710927826</v>
      </c>
      <c r="E9" s="6">
        <f>'Exh 6 Stores BS'!N53/'Exh 5 Stores IS'!N52</f>
        <v>0.33631356429283321</v>
      </c>
      <c r="F9" s="6"/>
      <c r="G9" s="6"/>
      <c r="H9" s="6"/>
      <c r="I9" s="6"/>
    </row>
    <row r="10" spans="1:16384" x14ac:dyDescent="0.25">
      <c r="B10" s="94">
        <v>2010</v>
      </c>
      <c r="C10" s="6">
        <f>'Exh 6 Stores BS'!M61/'Exh 5 Stores IS'!M60</f>
        <v>0.31791241900431161</v>
      </c>
      <c r="D10" s="6">
        <f>'Exh 6 Stores BS'!N61/'Exh 5 Stores IS'!N60</f>
        <v>0.33717206073680384</v>
      </c>
      <c r="E10" s="6"/>
      <c r="F10" s="6"/>
      <c r="G10" s="6"/>
      <c r="H10" s="6"/>
      <c r="I10" s="6"/>
    </row>
    <row r="11" spans="1:16384" x14ac:dyDescent="0.25">
      <c r="B11" s="96">
        <v>2011</v>
      </c>
      <c r="C11" s="95">
        <f>'Exh 6 Stores BS'!N69/'Exh 5 Stores IS'!N68</f>
        <v>0.3258424463480124</v>
      </c>
      <c r="D11" s="6"/>
      <c r="E11" s="6"/>
      <c r="F11" s="6"/>
      <c r="G11" s="6"/>
      <c r="H11" s="6"/>
      <c r="I11" s="6"/>
    </row>
    <row r="12" spans="1:16384" x14ac:dyDescent="0.25">
      <c r="B12" s="72" t="s">
        <v>3</v>
      </c>
      <c r="C12" s="39">
        <f>AVERAGE(C3:K11)</f>
        <v>0.32437135261785188</v>
      </c>
      <c r="D12" s="39"/>
      <c r="E12" s="1"/>
      <c r="F12" s="1"/>
      <c r="G12" s="1"/>
      <c r="H12" s="18"/>
      <c r="I12" s="39"/>
    </row>
    <row r="13" spans="1:16384" x14ac:dyDescent="0.25">
      <c r="B13" s="72"/>
      <c r="C13" s="6"/>
      <c r="D13" s="6"/>
      <c r="E13" s="6"/>
      <c r="F13" s="6"/>
      <c r="G13" s="6"/>
      <c r="H13" s="6"/>
      <c r="I13" s="6"/>
    </row>
    <row r="14" spans="1:16384" x14ac:dyDescent="0.25">
      <c r="B14" s="91" t="s">
        <v>20</v>
      </c>
      <c r="C14" s="4">
        <v>1</v>
      </c>
      <c r="D14" s="4">
        <v>2</v>
      </c>
      <c r="E14" s="4">
        <v>3</v>
      </c>
      <c r="F14" s="4">
        <v>4</v>
      </c>
      <c r="G14" s="4">
        <v>5</v>
      </c>
      <c r="H14" s="4">
        <v>6</v>
      </c>
      <c r="I14" s="4">
        <v>7</v>
      </c>
      <c r="J14" s="4">
        <v>8</v>
      </c>
      <c r="K14" s="4">
        <v>9</v>
      </c>
    </row>
    <row r="15" spans="1:16384" x14ac:dyDescent="0.25">
      <c r="A15" t="s">
        <v>11</v>
      </c>
      <c r="B15" s="94">
        <v>2003</v>
      </c>
      <c r="C15" s="6">
        <f>'Exh 6 Stores BS'!E$6/'Exh 5 Stores IS'!F$5</f>
        <v>0.45856973181927541</v>
      </c>
      <c r="D15" s="6">
        <f>'Exh 6 Stores BS'!F$6/'Exh 5 Stores IS'!G$5</f>
        <v>0.47217192098978067</v>
      </c>
      <c r="E15" s="6">
        <f>'Exh 6 Stores BS'!G$6/'Exh 5 Stores IS'!H$5</f>
        <v>0.44048990760564827</v>
      </c>
      <c r="F15" s="6">
        <f>'Exh 6 Stores BS'!H$6/'Exh 5 Stores IS'!I$5</f>
        <v>0.50387903515832722</v>
      </c>
      <c r="G15" s="6">
        <f>'Exh 6 Stores BS'!I$6/'Exh 5 Stores IS'!J$5</f>
        <v>0.42369161966767294</v>
      </c>
      <c r="H15" s="6">
        <f>'Exh 6 Stores BS'!J$6/'Exh 5 Stores IS'!K$5</f>
        <v>0.42390797706838623</v>
      </c>
      <c r="I15" s="6">
        <f>'Exh 6 Stores BS'!K$6/'Exh 5 Stores IS'!L$5</f>
        <v>0.44317664370028687</v>
      </c>
      <c r="J15" s="6">
        <f>'Exh 6 Stores BS'!L$6/'Exh 5 Stores IS'!M$5</f>
        <v>0.50332864135756417</v>
      </c>
      <c r="K15" s="6">
        <f>'Exh 6 Stores BS'!M$6/'Exh 5 Stores IS'!N$5</f>
        <v>0.42513417174245932</v>
      </c>
      <c r="L15" s="32"/>
    </row>
    <row r="16" spans="1:16384" x14ac:dyDescent="0.25">
      <c r="B16" s="94">
        <v>2004</v>
      </c>
      <c r="C16" s="6">
        <f>'Exh 6 Stores BS'!F$14/'Exh 5 Stores IS'!G$13</f>
        <v>0.43411251656312089</v>
      </c>
      <c r="D16" s="6">
        <f>'Exh 6 Stores BS'!G$14/'Exh 5 Stores IS'!H$13</f>
        <v>0.48335639688352883</v>
      </c>
      <c r="E16" s="6">
        <f>'Exh 6 Stores BS'!H$14/'Exh 5 Stores IS'!I$13</f>
        <v>0.54520193820899177</v>
      </c>
      <c r="F16" s="6">
        <f>'Exh 6 Stores BS'!I$14/'Exh 5 Stores IS'!J$13</f>
        <v>0.46445483619782496</v>
      </c>
      <c r="G16" s="6">
        <f>'Exh 6 Stores BS'!J$14/'Exh 5 Stores IS'!K$13</f>
        <v>0.47269908881929773</v>
      </c>
      <c r="H16" s="6">
        <f>'Exh 6 Stores BS'!K$14/'Exh 5 Stores IS'!L$13</f>
        <v>0.45572166888468729</v>
      </c>
      <c r="I16" s="6">
        <f>'Exh 6 Stores BS'!L$14/'Exh 5 Stores IS'!M$13</f>
        <v>0.48534937924325139</v>
      </c>
      <c r="J16" s="6">
        <f>'Exh 6 Stores BS'!M$14/'Exh 5 Stores IS'!N$13</f>
        <v>0.47341928072756723</v>
      </c>
      <c r="K16" s="6"/>
    </row>
    <row r="17" spans="1:12" x14ac:dyDescent="0.25">
      <c r="B17" s="94">
        <v>2005</v>
      </c>
      <c r="C17" s="6">
        <f>'Exh 6 Stores BS'!G$22/'Exh 5 Stores IS'!H$21</f>
        <v>0.47238195347952749</v>
      </c>
      <c r="D17" s="6">
        <f>'Exh 6 Stores BS'!H$22/'Exh 5 Stores IS'!I$21</f>
        <v>0.4828350453767567</v>
      </c>
      <c r="E17" s="6">
        <f>'Exh 6 Stores BS'!I$22/'Exh 5 Stores IS'!J$21</f>
        <v>0.40591832400788336</v>
      </c>
      <c r="F17" s="6">
        <f>'Exh 6 Stores BS'!J$22/'Exh 5 Stores IS'!K$21</f>
        <v>0.4676816044098388</v>
      </c>
      <c r="G17" s="6">
        <f>'Exh 6 Stores BS'!K$22/'Exh 5 Stores IS'!L$21</f>
        <v>0.43407834138676216</v>
      </c>
      <c r="H17" s="6">
        <f>'Exh 6 Stores BS'!L$22/'Exh 5 Stores IS'!M$21</f>
        <v>0.44915719148169314</v>
      </c>
      <c r="I17" s="6">
        <f>'Exh 6 Stores BS'!M$22/'Exh 5 Stores IS'!N$21</f>
        <v>0.4815124628686171</v>
      </c>
    </row>
    <row r="18" spans="1:12" x14ac:dyDescent="0.25">
      <c r="B18" s="94">
        <v>2006</v>
      </c>
      <c r="C18" s="6">
        <f>'Exh 6 Stores BS'!H$30/'Exh 5 Stores IS'!I$29</f>
        <v>0.45601252568244099</v>
      </c>
      <c r="D18" s="6">
        <f>'Exh 6 Stores BS'!I$30/'Exh 5 Stores IS'!J$29</f>
        <v>0.58042184831929255</v>
      </c>
      <c r="E18" s="6">
        <f>'Exh 6 Stores BS'!J$30/'Exh 5 Stores IS'!K$29</f>
        <v>0.4880414514207092</v>
      </c>
      <c r="F18" s="6">
        <f>'Exh 6 Stores BS'!K$30/'Exh 5 Stores IS'!L$29</f>
        <v>0.59278690052054483</v>
      </c>
      <c r="G18" s="6">
        <f>'Exh 6 Stores BS'!L$30/'Exh 5 Stores IS'!M$29</f>
        <v>0.50448308104635142</v>
      </c>
      <c r="H18" s="6">
        <f>'Exh 6 Stores BS'!M$30/'Exh 5 Stores IS'!N$29</f>
        <v>0.49197524790846786</v>
      </c>
      <c r="I18" s="6"/>
      <c r="L18" s="32"/>
    </row>
    <row r="19" spans="1:12" x14ac:dyDescent="0.25">
      <c r="B19" s="94">
        <v>2007</v>
      </c>
      <c r="C19" s="6">
        <f>'Exh 6 Stores BS'!I$38/'Exh 5 Stores IS'!J$37</f>
        <v>0.46695542448682892</v>
      </c>
      <c r="D19" s="6">
        <f>'Exh 6 Stores BS'!J$38/'Exh 5 Stores IS'!K$37</f>
        <v>0.42201175979597905</v>
      </c>
      <c r="E19" s="6">
        <f>'Exh 6 Stores BS'!K$38/'Exh 5 Stores IS'!L$37</f>
        <v>0.53037244748907653</v>
      </c>
      <c r="F19" s="6">
        <f>'Exh 6 Stores BS'!L$38/'Exh 5 Stores IS'!M$37</f>
        <v>0.48059602261413914</v>
      </c>
      <c r="G19" s="6">
        <f>'Exh 6 Stores BS'!M$38/'Exh 5 Stores IS'!N$37</f>
        <v>0.45482168404907258</v>
      </c>
      <c r="H19" s="6"/>
      <c r="I19" s="6"/>
    </row>
    <row r="20" spans="1:12" x14ac:dyDescent="0.25">
      <c r="B20" s="94">
        <v>2008</v>
      </c>
      <c r="C20" s="6">
        <f>'Exh 6 Stores BS'!J$46/'Exh 5 Stores IS'!K$45</f>
        <v>0.50087652808462813</v>
      </c>
      <c r="D20" s="6">
        <f>'Exh 6 Stores BS'!K$46/'Exh 5 Stores IS'!L$45</f>
        <v>0.49362758586890754</v>
      </c>
      <c r="E20" s="6">
        <f>'Exh 6 Stores BS'!L$46/'Exh 5 Stores IS'!M$45</f>
        <v>0.48565291405103483</v>
      </c>
      <c r="F20" s="6">
        <f>'Exh 6 Stores BS'!M$46/'Exh 5 Stores IS'!N$45</f>
        <v>0.45887542402558801</v>
      </c>
      <c r="G20" s="6"/>
      <c r="H20" s="6"/>
      <c r="I20" s="6"/>
    </row>
    <row r="21" spans="1:12" x14ac:dyDescent="0.25">
      <c r="B21" s="94">
        <v>2009</v>
      </c>
      <c r="C21" s="6">
        <f>'Exh 6 Stores BS'!K$54/'Exh 5 Stores IS'!L$53</f>
        <v>0.47772128995428725</v>
      </c>
      <c r="D21" s="6">
        <f>'Exh 6 Stores BS'!L$54/'Exh 5 Stores IS'!M$53</f>
        <v>0.53389949276066928</v>
      </c>
      <c r="E21" s="6">
        <f>'Exh 6 Stores BS'!M$54/'Exh 5 Stores IS'!N$53</f>
        <v>0.4667079189561546</v>
      </c>
      <c r="F21" s="6"/>
      <c r="G21" s="6"/>
      <c r="H21" s="6"/>
      <c r="I21" s="6"/>
    </row>
    <row r="22" spans="1:12" x14ac:dyDescent="0.25">
      <c r="B22" s="94">
        <v>2010</v>
      </c>
      <c r="C22" s="6">
        <f>'Exh 6 Stores BS'!L$62/'Exh 5 Stores IS'!M$61</f>
        <v>0.45508624389412278</v>
      </c>
      <c r="D22" s="6">
        <f>'Exh 6 Stores BS'!M$62/'Exh 5 Stores IS'!N$61</f>
        <v>0.50699498748603999</v>
      </c>
      <c r="E22" s="6"/>
      <c r="F22" s="6"/>
      <c r="G22" s="6"/>
      <c r="H22" s="6"/>
      <c r="I22" s="6"/>
    </row>
    <row r="23" spans="1:12" x14ac:dyDescent="0.25">
      <c r="B23" s="96">
        <v>2011</v>
      </c>
      <c r="C23" s="95">
        <f>'Exh 6 Stores BS'!M$70/'Exh 5 Stores IS'!N$69</f>
        <v>0.45262343819240575</v>
      </c>
      <c r="D23" s="6"/>
      <c r="E23" s="6"/>
      <c r="F23" s="6"/>
      <c r="G23" s="6"/>
      <c r="H23" s="6"/>
      <c r="I23" s="6"/>
    </row>
    <row r="24" spans="1:12" x14ac:dyDescent="0.25">
      <c r="B24" s="72" t="s">
        <v>3</v>
      </c>
      <c r="C24" s="39">
        <f>AVERAGE(C15:K23)</f>
        <v>0.47561719765012189</v>
      </c>
      <c r="D24" s="39"/>
      <c r="E24" s="1"/>
      <c r="F24" s="30"/>
      <c r="G24" s="1"/>
      <c r="H24" s="39"/>
      <c r="I24" s="39"/>
    </row>
    <row r="25" spans="1:12" x14ac:dyDescent="0.25">
      <c r="B25" s="72"/>
      <c r="C25" s="39"/>
      <c r="D25" s="36"/>
      <c r="E25" s="36"/>
      <c r="F25" s="36"/>
      <c r="G25" s="36"/>
      <c r="H25" s="36"/>
      <c r="I25" s="36"/>
    </row>
    <row r="26" spans="1:12" x14ac:dyDescent="0.25">
      <c r="B26" s="91" t="s">
        <v>20</v>
      </c>
      <c r="C26" s="4">
        <v>1</v>
      </c>
      <c r="D26" s="4">
        <v>2</v>
      </c>
      <c r="E26" s="4">
        <v>3</v>
      </c>
      <c r="F26" s="4">
        <v>4</v>
      </c>
      <c r="G26" s="4">
        <v>5</v>
      </c>
      <c r="H26" s="4">
        <v>6</v>
      </c>
      <c r="I26" s="4">
        <v>7</v>
      </c>
      <c r="J26" s="4">
        <v>8</v>
      </c>
      <c r="K26" s="4">
        <v>9</v>
      </c>
    </row>
    <row r="27" spans="1:12" x14ac:dyDescent="0.25">
      <c r="A27" t="s">
        <v>87</v>
      </c>
      <c r="B27" s="94">
        <v>2003</v>
      </c>
      <c r="C27" s="6">
        <f>'Exh 6 Stores BS'!E$7/'Exh 5 Stores IS'!F$5</f>
        <v>0.16129291363929177</v>
      </c>
      <c r="D27" s="6">
        <f>'Exh 6 Stores BS'!F$7/'Exh 5 Stores IS'!G$5</f>
        <v>0.17160640183789694</v>
      </c>
      <c r="E27" s="6">
        <f>'Exh 6 Stores BS'!G$7/'Exh 5 Stores IS'!H$5</f>
        <v>0.1484259582165923</v>
      </c>
      <c r="F27" s="6">
        <f>'Exh 6 Stores BS'!H$7/'Exh 5 Stores IS'!I$5</f>
        <v>0.16921273670869547</v>
      </c>
      <c r="G27" s="6">
        <f>'Exh 6 Stores BS'!I$7/'Exh 5 Stores IS'!J$5</f>
        <v>0.14647274836483315</v>
      </c>
      <c r="H27" s="6">
        <f>'Exh 6 Stores BS'!J$7/'Exh 5 Stores IS'!K$5</f>
        <v>0.15163288934853617</v>
      </c>
      <c r="I27" s="6">
        <f>'Exh 6 Stores BS'!K$7/'Exh 5 Stores IS'!L$5</f>
        <v>0.157329698105831</v>
      </c>
      <c r="J27" s="6">
        <f>'Exh 6 Stores BS'!L$7/'Exh 5 Stores IS'!M$5</f>
        <v>0.17224119420592865</v>
      </c>
      <c r="K27" s="6">
        <f>'Exh 6 Stores BS'!M$7/'Exh 5 Stores IS'!N$5</f>
        <v>0.1528711731208518</v>
      </c>
      <c r="L27" s="32"/>
    </row>
    <row r="28" spans="1:12" x14ac:dyDescent="0.25">
      <c r="B28" s="94">
        <v>2004</v>
      </c>
      <c r="C28" s="6">
        <f>'Exh 6 Stores BS'!F$15/'Exh 5 Stores IS'!G$13</f>
        <v>0.16050772713468794</v>
      </c>
      <c r="D28" s="6">
        <f>'Exh 6 Stores BS'!G$15/'Exh 5 Stores IS'!H$13</f>
        <v>0.16899647325388328</v>
      </c>
      <c r="E28" s="6">
        <f>'Exh 6 Stores BS'!H$15/'Exh 5 Stores IS'!I$13</f>
        <v>0.17995561443628641</v>
      </c>
      <c r="F28" s="6">
        <f>'Exh 6 Stores BS'!I$15/'Exh 5 Stores IS'!J$13</f>
        <v>0.15578195344222973</v>
      </c>
      <c r="G28" s="6">
        <f>'Exh 6 Stores BS'!J$15/'Exh 5 Stores IS'!K$13</f>
        <v>0.16995428129108556</v>
      </c>
      <c r="H28" s="6">
        <f>'Exh 6 Stores BS'!K$15/'Exh 5 Stores IS'!L$13</f>
        <v>0.16322490535573278</v>
      </c>
      <c r="I28" s="6">
        <f>'Exh 6 Stores BS'!L$15/'Exh 5 Stores IS'!M$13</f>
        <v>0.16794529282354848</v>
      </c>
      <c r="J28" s="6">
        <f>'Exh 6 Stores BS'!M$15/'Exh 5 Stores IS'!N$13</f>
        <v>0.15867427744930801</v>
      </c>
      <c r="K28" s="6"/>
    </row>
    <row r="29" spans="1:12" x14ac:dyDescent="0.25">
      <c r="B29" s="94">
        <v>2005</v>
      </c>
      <c r="C29" s="6">
        <f>'Exh 6 Stores BS'!G$23/'Exh 5 Stores IS'!H$21</f>
        <v>0.15445849470754452</v>
      </c>
      <c r="D29" s="6">
        <f>'Exh 6 Stores BS'!H$23/'Exh 5 Stores IS'!I$21</f>
        <v>0.16123875012168989</v>
      </c>
      <c r="E29" s="6">
        <f>'Exh 6 Stores BS'!I$23/'Exh 5 Stores IS'!J$21</f>
        <v>0.15241820964095423</v>
      </c>
      <c r="F29" s="6">
        <f>'Exh 6 Stores BS'!J$23/'Exh 5 Stores IS'!K$21</f>
        <v>0.16245825231328523</v>
      </c>
      <c r="G29" s="6">
        <f>'Exh 6 Stores BS'!K$23/'Exh 5 Stores IS'!L$21</f>
        <v>0.16222334361923776</v>
      </c>
      <c r="H29" s="6">
        <f>'Exh 6 Stores BS'!L$23/'Exh 5 Stores IS'!M$21</f>
        <v>0.1594514391304214</v>
      </c>
      <c r="I29" s="6">
        <f>'Exh 6 Stores BS'!M$23/'Exh 5 Stores IS'!N$21</f>
        <v>0.17304810862870296</v>
      </c>
    </row>
    <row r="30" spans="1:12" x14ac:dyDescent="0.25">
      <c r="B30" s="94">
        <v>2006</v>
      </c>
      <c r="C30" s="6">
        <f>'Exh 6 Stores BS'!H$31/'Exh 5 Stores IS'!I$29</f>
        <v>0.16097676169292535</v>
      </c>
      <c r="D30" s="6">
        <f>'Exh 6 Stores BS'!I$31/'Exh 5 Stores IS'!J$29</f>
        <v>0.19829893431585682</v>
      </c>
      <c r="E30" s="6">
        <f>'Exh 6 Stores BS'!J$31/'Exh 5 Stores IS'!K$29</f>
        <v>0.16044788393581816</v>
      </c>
      <c r="F30" s="6">
        <f>'Exh 6 Stores BS'!K$31/'Exh 5 Stores IS'!L$29</f>
        <v>0.19081128666699224</v>
      </c>
      <c r="G30" s="6">
        <f>'Exh 6 Stores BS'!L$31/'Exh 5 Stores IS'!M$29</f>
        <v>0.16330373362722705</v>
      </c>
      <c r="H30" s="6">
        <f>'Exh 6 Stores BS'!M$31/'Exh 5 Stores IS'!N$29</f>
        <v>0.1668864041767342</v>
      </c>
      <c r="I30" s="6"/>
    </row>
    <row r="31" spans="1:12" x14ac:dyDescent="0.25">
      <c r="B31" s="94">
        <v>2007</v>
      </c>
      <c r="C31" s="6">
        <f>'Exh 6 Stores BS'!I$39/'Exh 5 Stores IS'!J$37</f>
        <v>0.15454737498969512</v>
      </c>
      <c r="D31" s="6">
        <f>'Exh 6 Stores BS'!J$39/'Exh 5 Stores IS'!K$37</f>
        <v>0.16758674685727259</v>
      </c>
      <c r="E31" s="6">
        <f>'Exh 6 Stores BS'!K$39/'Exh 5 Stores IS'!L$37</f>
        <v>0.1651407812695814</v>
      </c>
      <c r="F31" s="6">
        <f>'Exh 6 Stores BS'!L$39/'Exh 5 Stores IS'!M$37</f>
        <v>0.17273837882034096</v>
      </c>
      <c r="G31" s="6">
        <f>'Exh 6 Stores BS'!M$39/'Exh 5 Stores IS'!N$37</f>
        <v>0.15188285506953547</v>
      </c>
      <c r="H31" s="6"/>
      <c r="I31" s="6"/>
    </row>
    <row r="32" spans="1:12" x14ac:dyDescent="0.25">
      <c r="B32" s="94">
        <v>2008</v>
      </c>
      <c r="C32" s="6">
        <f>'Exh 6 Stores BS'!J$47/'Exh 5 Stores IS'!K$45</f>
        <v>0.16997674484104422</v>
      </c>
      <c r="D32" s="6">
        <f>'Exh 6 Stores BS'!K$47/'Exh 5 Stores IS'!L$45</f>
        <v>0.15775583604581217</v>
      </c>
      <c r="E32" s="6">
        <f>'Exh 6 Stores BS'!L$47/'Exh 5 Stores IS'!M$45</f>
        <v>0.14973543255473939</v>
      </c>
      <c r="F32" s="6">
        <f>'Exh 6 Stores BS'!M$47/'Exh 5 Stores IS'!N$45</f>
        <v>0.1557816276649894</v>
      </c>
      <c r="G32" s="6"/>
      <c r="H32" s="6"/>
      <c r="I32" s="6"/>
    </row>
    <row r="33" spans="1:11" x14ac:dyDescent="0.25">
      <c r="B33" s="94">
        <v>2009</v>
      </c>
      <c r="C33" s="6">
        <f>'Exh 6 Stores BS'!K$55/'Exh 5 Stores IS'!L$53</f>
        <v>0.16775779884185194</v>
      </c>
      <c r="D33" s="6">
        <f>'Exh 6 Stores BS'!L$55/'Exh 5 Stores IS'!M$53</f>
        <v>0.15811753889764102</v>
      </c>
      <c r="E33" s="6">
        <f>'Exh 6 Stores BS'!M$55/'Exh 5 Stores IS'!N$53</f>
        <v>0.17303420118388177</v>
      </c>
      <c r="F33" s="6"/>
      <c r="G33" s="6"/>
      <c r="H33" s="6"/>
      <c r="I33" s="6"/>
    </row>
    <row r="34" spans="1:11" x14ac:dyDescent="0.25">
      <c r="B34" s="94">
        <v>2010</v>
      </c>
      <c r="C34" s="6">
        <f>'Exh 6 Stores BS'!L$63/'Exh 5 Stores IS'!M$61</f>
        <v>0.15642274837373837</v>
      </c>
      <c r="D34" s="6">
        <f>'Exh 6 Stores BS'!M$63/'Exh 5 Stores IS'!N$61</f>
        <v>0.16353582960884472</v>
      </c>
      <c r="E34" s="6"/>
      <c r="F34" s="6"/>
      <c r="G34" s="6"/>
      <c r="H34" s="6"/>
      <c r="I34" s="6"/>
    </row>
    <row r="35" spans="1:11" x14ac:dyDescent="0.25">
      <c r="B35" s="96">
        <v>2011</v>
      </c>
      <c r="C35" s="95">
        <f>'Exh 6 Stores BS'!M$71/'Exh 5 Stores IS'!N$69</f>
        <v>0.16407014918116827</v>
      </c>
      <c r="D35" s="6"/>
      <c r="E35" s="6"/>
      <c r="F35" s="6"/>
      <c r="G35" s="6"/>
      <c r="H35" s="6"/>
      <c r="I35" s="6"/>
    </row>
    <row r="36" spans="1:11" x14ac:dyDescent="0.25">
      <c r="B36" s="72" t="s">
        <v>3</v>
      </c>
      <c r="C36" s="39">
        <f>AVERAGE(C27:K34)</f>
        <v>0.16332185764389956</v>
      </c>
      <c r="D36" s="39"/>
      <c r="E36" s="1"/>
      <c r="F36" s="30">
        <f>12*C36</f>
        <v>1.9598622917267947</v>
      </c>
      <c r="G36" s="1"/>
      <c r="H36" s="39"/>
      <c r="I36" s="39"/>
    </row>
    <row r="37" spans="1:11" x14ac:dyDescent="0.25">
      <c r="B37" s="72"/>
      <c r="C37" s="6"/>
      <c r="D37" s="36"/>
      <c r="E37" s="36"/>
      <c r="F37" s="36"/>
      <c r="G37" s="36"/>
      <c r="H37" s="36"/>
      <c r="I37" s="36"/>
    </row>
    <row r="38" spans="1:11" x14ac:dyDescent="0.25">
      <c r="B38" s="91" t="s">
        <v>20</v>
      </c>
      <c r="C38" s="4">
        <v>1</v>
      </c>
      <c r="D38" s="4">
        <v>2</v>
      </c>
      <c r="E38" s="4">
        <v>3</v>
      </c>
      <c r="F38" s="4">
        <v>4</v>
      </c>
      <c r="G38" s="4">
        <v>5</v>
      </c>
      <c r="H38" s="4">
        <v>6</v>
      </c>
      <c r="I38" s="4">
        <v>7</v>
      </c>
      <c r="J38" s="4">
        <v>8</v>
      </c>
      <c r="K38" s="4">
        <v>9</v>
      </c>
    </row>
    <row r="39" spans="1:11" x14ac:dyDescent="0.25">
      <c r="A39" t="s">
        <v>86</v>
      </c>
      <c r="B39" s="94">
        <v>2003</v>
      </c>
      <c r="C39" s="39">
        <f>'Exh 6 Stores BS'!E$8/('Exh 5 Stores IS'!F$6+'Exh 5 Stores IS'!F$7)</f>
        <v>4.7255676166658114E-2</v>
      </c>
      <c r="D39" s="39">
        <f>'Exh 6 Stores BS'!F$8/('Exh 5 Stores IS'!G$6+'Exh 5 Stores IS'!G$7)</f>
        <v>5.0631532690768491E-2</v>
      </c>
      <c r="E39" s="39">
        <f>'Exh 6 Stores BS'!G$8/('Exh 5 Stores IS'!H$6+'Exh 5 Stores IS'!H$7)</f>
        <v>4.8969654466579374E-2</v>
      </c>
      <c r="F39" s="39">
        <f>'Exh 6 Stores BS'!H$8/('Exh 5 Stores IS'!I$6+'Exh 5 Stores IS'!I$7)</f>
        <v>4.6990858134820804E-2</v>
      </c>
      <c r="G39" s="39">
        <f>'Exh 6 Stores BS'!I$8/('Exh 5 Stores IS'!J$6+'Exh 5 Stores IS'!J$7)</f>
        <v>4.9179924786665122E-2</v>
      </c>
      <c r="H39" s="39">
        <f>'Exh 6 Stores BS'!J$8/('Exh 5 Stores IS'!K$6+'Exh 5 Stores IS'!K$7)</f>
        <v>4.4500497651647646E-2</v>
      </c>
      <c r="I39" s="39">
        <f>'Exh 6 Stores BS'!K$8/('Exh 5 Stores IS'!L$6+'Exh 5 Stores IS'!L$7)</f>
        <v>4.6333959114025387E-2</v>
      </c>
      <c r="J39" s="39">
        <f>'Exh 6 Stores BS'!L$8/('Exh 5 Stores IS'!M$6+'Exh 5 Stores IS'!M$7)</f>
        <v>5.2009918902167752E-2</v>
      </c>
      <c r="K39" s="39">
        <f>'Exh 6 Stores BS'!M$8/('Exh 5 Stores IS'!N$6+'Exh 5 Stores IS'!N$7)</f>
        <v>4.6771332162833877E-2</v>
      </c>
    </row>
    <row r="40" spans="1:11" x14ac:dyDescent="0.25">
      <c r="B40" s="94">
        <v>2004</v>
      </c>
      <c r="C40" s="39">
        <f>'Exh 6 Stores BS'!F$16/('Exh 5 Stores IS'!G$14+'Exh 5 Stores IS'!G$15)</f>
        <v>5.1403491721857895E-2</v>
      </c>
      <c r="D40" s="39">
        <f>'Exh 6 Stores BS'!G$16/('Exh 5 Stores IS'!H$14+'Exh 5 Stores IS'!H$15)</f>
        <v>5.0659920969553567E-2</v>
      </c>
      <c r="E40" s="39">
        <f>'Exh 6 Stores BS'!H$16/('Exh 5 Stores IS'!I$14+'Exh 5 Stores IS'!I$15)</f>
        <v>4.941966069535917E-2</v>
      </c>
      <c r="F40" s="39">
        <f>'Exh 6 Stores BS'!I$16/('Exh 5 Stores IS'!J$14+'Exh 5 Stores IS'!J$15)</f>
        <v>4.8895403003539485E-2</v>
      </c>
      <c r="G40" s="39">
        <f>'Exh 6 Stores BS'!J$16/('Exh 5 Stores IS'!K$14+'Exh 5 Stores IS'!K$15)</f>
        <v>4.6667973605453258E-2</v>
      </c>
      <c r="H40" s="39">
        <f>'Exh 6 Stores BS'!K$16/('Exh 5 Stores IS'!L$14+'Exh 5 Stores IS'!L$15)</f>
        <v>4.6790294780028927E-2</v>
      </c>
      <c r="I40" s="39">
        <f>'Exh 6 Stores BS'!L$16/('Exh 5 Stores IS'!M$14+'Exh 5 Stores IS'!M$15)</f>
        <v>4.79869915018553E-2</v>
      </c>
      <c r="J40" s="39">
        <f>'Exh 6 Stores BS'!M$16/('Exh 5 Stores IS'!N$14+'Exh 5 Stores IS'!N$15)</f>
        <v>4.8971321203650504E-2</v>
      </c>
      <c r="K40" s="39"/>
    </row>
    <row r="41" spans="1:11" x14ac:dyDescent="0.25">
      <c r="B41" s="94">
        <v>2005</v>
      </c>
      <c r="C41" s="39">
        <f>'Exh 6 Stores BS'!G$24/('Exh 5 Stores IS'!H$22+'Exh 5 Stores IS'!H$23)</f>
        <v>4.6120997198416544E-2</v>
      </c>
      <c r="D41" s="39">
        <f>'Exh 6 Stores BS'!H$24/('Exh 5 Stores IS'!I$22+'Exh 5 Stores IS'!I$23)</f>
        <v>4.7460672966899403E-2</v>
      </c>
      <c r="E41" s="39">
        <f>'Exh 6 Stores BS'!I$24/('Exh 5 Stores IS'!J$22+'Exh 5 Stores IS'!J$23)</f>
        <v>4.8375399531955257E-2</v>
      </c>
      <c r="F41" s="39">
        <f>'Exh 6 Stores BS'!J$24/('Exh 5 Stores IS'!K$22+'Exh 5 Stores IS'!K$23)</f>
        <v>4.3859776191214818E-2</v>
      </c>
      <c r="G41" s="39">
        <f>'Exh 6 Stores BS'!K$24/('Exh 5 Stores IS'!L$22+'Exh 5 Stores IS'!L$23)</f>
        <v>5.1960276619475269E-2</v>
      </c>
      <c r="H41" s="39">
        <f>'Exh 6 Stores BS'!L$24/('Exh 5 Stores IS'!M$22+'Exh 5 Stores IS'!M$23)</f>
        <v>5.003720044169347E-2</v>
      </c>
      <c r="I41" s="39">
        <f>'Exh 6 Stores BS'!M$24/('Exh 5 Stores IS'!N$22+'Exh 5 Stores IS'!N$23)</f>
        <v>4.5718905882297385E-2</v>
      </c>
    </row>
    <row r="42" spans="1:11" x14ac:dyDescent="0.25">
      <c r="B42" s="94">
        <v>2006</v>
      </c>
      <c r="C42" s="39">
        <f>'Exh 6 Stores BS'!H$32/('Exh 5 Stores IS'!I$30+'Exh 5 Stores IS'!I$31)</f>
        <v>4.6284887098776886E-2</v>
      </c>
      <c r="D42" s="39">
        <f>'Exh 6 Stores BS'!I$32/('Exh 5 Stores IS'!J$30+'Exh 5 Stores IS'!J$31)</f>
        <v>4.681876123985651E-2</v>
      </c>
      <c r="E42" s="39">
        <f>'Exh 6 Stores BS'!J$32/('Exh 5 Stores IS'!K$30+'Exh 5 Stores IS'!K$31)</f>
        <v>4.8368749400758256E-2</v>
      </c>
      <c r="F42" s="39">
        <f>'Exh 6 Stores BS'!K$32/('Exh 5 Stores IS'!L$30+'Exh 5 Stores IS'!L$31)</f>
        <v>5.0308456020525791E-2</v>
      </c>
      <c r="G42" s="39">
        <f>'Exh 6 Stores BS'!L$32/('Exh 5 Stores IS'!M$30+'Exh 5 Stores IS'!M$31)</f>
        <v>4.6626391212905197E-2</v>
      </c>
      <c r="H42" s="39">
        <f>'Exh 6 Stores BS'!M$32/('Exh 5 Stores IS'!N$30+'Exh 5 Stores IS'!N$31)</f>
        <v>4.7350557226988527E-2</v>
      </c>
      <c r="I42" s="39"/>
    </row>
    <row r="43" spans="1:11" x14ac:dyDescent="0.25">
      <c r="B43" s="94">
        <v>2007</v>
      </c>
      <c r="C43" s="39">
        <f>'Exh 6 Stores BS'!I$40/('Exh 5 Stores IS'!J$38+'Exh 5 Stores IS'!J$39)</f>
        <v>4.602889365622536E-2</v>
      </c>
      <c r="D43" s="39">
        <f>'Exh 6 Stores BS'!J$40/('Exh 5 Stores IS'!K$38+'Exh 5 Stores IS'!K$39)</f>
        <v>5.0034777035821029E-2</v>
      </c>
      <c r="E43" s="39">
        <f>'Exh 6 Stores BS'!K$40/('Exh 5 Stores IS'!L$38+'Exh 5 Stores IS'!L$39)</f>
        <v>4.569093292745742E-2</v>
      </c>
      <c r="F43" s="39">
        <f>'Exh 6 Stores BS'!L$40/('Exh 5 Stores IS'!M$38+'Exh 5 Stores IS'!M$39)</f>
        <v>4.8130409593483713E-2</v>
      </c>
      <c r="G43" s="39">
        <f>'Exh 6 Stores BS'!M$40/('Exh 5 Stores IS'!N$38+'Exh 5 Stores IS'!N$39)</f>
        <v>4.8251097281857808E-2</v>
      </c>
      <c r="H43" s="39"/>
      <c r="I43" s="39"/>
    </row>
    <row r="44" spans="1:11" x14ac:dyDescent="0.25">
      <c r="B44" s="94">
        <v>2008</v>
      </c>
      <c r="C44" s="39">
        <f>'Exh 6 Stores BS'!J$48/('Exh 5 Stores IS'!K$46+'Exh 5 Stores IS'!K$47)</f>
        <v>5.086677037290957E-2</v>
      </c>
      <c r="D44" s="39">
        <f>'Exh 6 Stores BS'!K$48/('Exh 5 Stores IS'!L$46+'Exh 5 Stores IS'!L$47)</f>
        <v>4.9656346290096263E-2</v>
      </c>
      <c r="E44" s="39">
        <f>'Exh 6 Stores BS'!L$48/('Exh 5 Stores IS'!M$46+'Exh 5 Stores IS'!M$47)</f>
        <v>4.849867817047069E-2</v>
      </c>
      <c r="F44" s="39">
        <f>'Exh 6 Stores BS'!M$48/('Exh 5 Stores IS'!N$46+'Exh 5 Stores IS'!N$47)</f>
        <v>4.8758126377279262E-2</v>
      </c>
      <c r="G44" s="39"/>
      <c r="H44" s="39"/>
      <c r="I44" s="39"/>
    </row>
    <row r="45" spans="1:11" x14ac:dyDescent="0.25">
      <c r="B45" s="94">
        <v>2009</v>
      </c>
      <c r="C45" s="39">
        <f>'Exh 6 Stores BS'!K$56/('Exh 5 Stores IS'!L$54+'Exh 5 Stores IS'!L$55)</f>
        <v>5.1705536115121603E-2</v>
      </c>
      <c r="D45" s="39">
        <f>'Exh 6 Stores BS'!L$56/('Exh 5 Stores IS'!M$54+'Exh 5 Stores IS'!M$55)</f>
        <v>4.7733461261701068E-2</v>
      </c>
      <c r="E45" s="39">
        <f>'Exh 6 Stores BS'!M$56/('Exh 5 Stores IS'!N$54+'Exh 5 Stores IS'!N$55)</f>
        <v>4.7335400699820104E-2</v>
      </c>
      <c r="F45" s="39"/>
      <c r="G45" s="39"/>
      <c r="H45" s="39"/>
      <c r="I45" s="39"/>
    </row>
    <row r="46" spans="1:11" x14ac:dyDescent="0.25">
      <c r="B46" s="94">
        <v>2010</v>
      </c>
      <c r="C46" s="39">
        <f>'Exh 6 Stores BS'!L$64/('Exh 5 Stores IS'!M$62+'Exh 5 Stores IS'!M$63)</f>
        <v>4.5494179406882759E-2</v>
      </c>
      <c r="D46" s="39">
        <f>'Exh 6 Stores BS'!M$64/('Exh 5 Stores IS'!N$62+'Exh 5 Stores IS'!N$63)</f>
        <v>4.72995053666583E-2</v>
      </c>
      <c r="E46" s="39"/>
      <c r="F46" s="39"/>
      <c r="G46" s="39"/>
      <c r="H46" s="39"/>
      <c r="I46" s="39"/>
    </row>
    <row r="47" spans="1:11" x14ac:dyDescent="0.25">
      <c r="B47" s="96">
        <v>2011</v>
      </c>
      <c r="C47" s="97">
        <f>'Exh 6 Stores BS'!M$72/('Exh 5 Stores IS'!N$70+'Exh 5 Stores IS'!N$71)</f>
        <v>4.4471368689932435E-2</v>
      </c>
      <c r="D47" s="39"/>
      <c r="E47" s="39"/>
      <c r="F47" s="39"/>
      <c r="G47" s="39"/>
      <c r="H47" s="39"/>
      <c r="I47" s="39"/>
    </row>
    <row r="48" spans="1:11" x14ac:dyDescent="0.25">
      <c r="B48" s="72" t="s">
        <v>3</v>
      </c>
      <c r="C48" s="39">
        <f>AVERAGE(C39:K47)</f>
        <v>4.8059665018554347E-2</v>
      </c>
      <c r="D48" s="39"/>
      <c r="E48" s="1"/>
      <c r="F48" s="30"/>
      <c r="G48" s="39"/>
      <c r="H48" s="39"/>
      <c r="I48" s="39"/>
    </row>
    <row r="50" spans="1:12" x14ac:dyDescent="0.25">
      <c r="B50" s="4"/>
      <c r="C50" s="91" t="s">
        <v>33</v>
      </c>
      <c r="D50" s="91" t="s">
        <v>57</v>
      </c>
    </row>
    <row r="51" spans="1:12" x14ac:dyDescent="0.25">
      <c r="A51" t="s">
        <v>56</v>
      </c>
      <c r="B51" s="37">
        <v>2003</v>
      </c>
      <c r="C51" s="9">
        <f>1000*'Exh 6 Stores BS'!E4/('Exh 6 Stores BS'!C3*'Exh 6 Stores BS'!D3)</f>
        <v>20.813953488372093</v>
      </c>
      <c r="D51" s="9">
        <f>C51/(HLOOKUP(B51,'Exh 4 Econ Indicators'!$B$2:$S$8,2,FALSE)/HLOOKUP($B$60,'Exh 4 Econ Indicators'!$B$2:$S$8,2,FALSE))</f>
        <v>25.930030031924691</v>
      </c>
      <c r="E51" s="9"/>
      <c r="K51" s="45"/>
      <c r="L51" s="9"/>
    </row>
    <row r="52" spans="1:12" x14ac:dyDescent="0.25">
      <c r="B52" s="37">
        <v>2004</v>
      </c>
      <c r="C52" s="9">
        <f>1000*'Exh 6 Stores BS'!F12/('Exh 6 Stores BS'!C11*'Exh 6 Stores BS'!D11)</f>
        <v>22.253787878787879</v>
      </c>
      <c r="D52" s="9">
        <f>C52/(HLOOKUP(B52,'Exh 4 Econ Indicators'!$B$2:$S$8,2,FALSE)/HLOOKUP($B$60,'Exh 4 Econ Indicators'!$B$2:$S$8,2,FALSE))</f>
        <v>26.849668685010904</v>
      </c>
      <c r="E52" s="9"/>
      <c r="K52" s="45"/>
      <c r="L52" s="9"/>
    </row>
    <row r="53" spans="1:12" x14ac:dyDescent="0.25">
      <c r="B53" s="37">
        <v>2005</v>
      </c>
      <c r="C53" s="9">
        <f>1000*'Exh 6 Stores BS'!G20/('Exh 6 Stores BS'!C19*'Exh 6 Stores BS'!D19)</f>
        <v>24.513513513513512</v>
      </c>
      <c r="D53" s="9">
        <f>C53/(HLOOKUP(B53,'Exh 4 Econ Indicators'!$B$2:$S$8,2,FALSE)/HLOOKUP($B$60,'Exh 4 Econ Indicators'!$B$2:$S$8,2,FALSE))</f>
        <v>28.599223659635239</v>
      </c>
      <c r="E53" s="9"/>
      <c r="K53" s="45"/>
      <c r="L53" s="9"/>
    </row>
    <row r="54" spans="1:12" x14ac:dyDescent="0.25">
      <c r="B54" s="37">
        <v>2006</v>
      </c>
      <c r="C54" s="9">
        <f>1000*'Exh 6 Stores BS'!H28/('Exh 6 Stores BS'!C27*'Exh 6 Stores BS'!D27)</f>
        <v>28.161137440758292</v>
      </c>
      <c r="D54" s="9">
        <f>C54/(HLOOKUP(B54,'Exh 4 Econ Indicators'!$B$2:$S$8,2,FALSE)/HLOOKUP($B$60,'Exh 4 Econ Indicators'!$B$2:$S$8,2,FALSE))</f>
        <v>32.04075974992837</v>
      </c>
      <c r="E54" s="9"/>
      <c r="K54" s="45"/>
      <c r="L54" s="9"/>
    </row>
    <row r="55" spans="1:12" x14ac:dyDescent="0.25">
      <c r="B55" s="37">
        <v>2007</v>
      </c>
      <c r="C55" s="9">
        <f>1000*('Exh 6 Stores BS'!I36/('Exh 6 Stores BS'!C35*'Exh 6 Stores BS'!D35))</f>
        <v>30.603318250377075</v>
      </c>
      <c r="D55" s="9">
        <f>C55/(HLOOKUP(B55,'Exh 4 Econ Indicators'!$B$2:$S$8,2,FALSE)/HLOOKUP($B$60,'Exh 4 Econ Indicators'!$B$2:$S$8,2,FALSE))</f>
        <v>33.45403870576866</v>
      </c>
      <c r="E55" s="9"/>
      <c r="K55" s="45"/>
      <c r="L55" s="9"/>
    </row>
    <row r="56" spans="1:12" x14ac:dyDescent="0.25">
      <c r="B56" s="37">
        <v>2008</v>
      </c>
      <c r="C56" s="9">
        <f>1000*'Exh 6 Stores BS'!J44/('Exh 6 Stores BS'!C43*'Exh 6 Stores BS'!D43)</f>
        <v>29.806451612903224</v>
      </c>
      <c r="D56" s="9">
        <f>C56/(HLOOKUP(B56,'Exh 4 Econ Indicators'!$B$2:$S$8,2,FALSE)/HLOOKUP($B$60,'Exh 4 Econ Indicators'!$B$2:$S$8,2,FALSE))</f>
        <v>32.553185573635261</v>
      </c>
      <c r="E56" s="9"/>
      <c r="K56" s="45"/>
      <c r="L56" s="9"/>
    </row>
    <row r="57" spans="1:12" x14ac:dyDescent="0.25">
      <c r="B57" s="37">
        <v>2009</v>
      </c>
      <c r="C57" s="9">
        <f>1000*'Exh 6 Stores BS'!K52/('Exh 6 Stores BS'!C51*'Exh 6 Stores BS'!D51)</f>
        <v>27.172413793103448</v>
      </c>
      <c r="D57" s="9">
        <f>C57/(HLOOKUP(B57,'Exh 4 Econ Indicators'!$B$2:$S$8,2,FALSE)/HLOOKUP($B$60,'Exh 4 Econ Indicators'!$B$2:$S$8,2,FALSE))</f>
        <v>28.89021657572086</v>
      </c>
      <c r="E57" s="9"/>
      <c r="K57" s="45"/>
      <c r="L57" s="9"/>
    </row>
    <row r="58" spans="1:12" x14ac:dyDescent="0.25">
      <c r="B58" s="37">
        <v>2010</v>
      </c>
      <c r="C58" s="9">
        <f>1000*'Exh 6 Stores BS'!L60/('Exh 6 Stores BS'!C59*'Exh 6 Stores BS'!D59)</f>
        <v>25.578231292517007</v>
      </c>
      <c r="D58" s="9">
        <f>C58/(HLOOKUP(B58,'Exh 4 Econ Indicators'!$B$2:$S$8,2,FALSE)/HLOOKUP($B$60,'Exh 4 Econ Indicators'!$B$2:$S$8,2,FALSE))</f>
        <v>26.794480689268575</v>
      </c>
      <c r="E58" s="9"/>
      <c r="K58" s="45"/>
      <c r="L58" s="9"/>
    </row>
    <row r="59" spans="1:12" x14ac:dyDescent="0.25">
      <c r="B59" s="37">
        <v>2011</v>
      </c>
      <c r="C59" s="9">
        <f>1000*'Exh 6 Stores BS'!M68/('Exh 6 Stores BS'!C67*'Exh 6 Stores BS'!D67)</f>
        <v>25.90909090909091</v>
      </c>
      <c r="D59" s="9">
        <f>C59/(HLOOKUP(B59,'Exh 4 Econ Indicators'!$B$2:$S$8,2,FALSE)/HLOOKUP($B$60,'Exh 4 Econ Indicators'!$B$2:$S$8,2,FALSE))</f>
        <v>26.360173977357324</v>
      </c>
      <c r="E59" s="9"/>
      <c r="K59" s="45"/>
      <c r="L59" s="9"/>
    </row>
    <row r="60" spans="1:12" x14ac:dyDescent="0.25">
      <c r="B60" s="37">
        <v>2012</v>
      </c>
      <c r="C60" s="9">
        <f>1000*'Exh 6 Stores BS'!N76/('Exh 6 Stores BS'!C75*'Exh 6 Stores BS'!D75)</f>
        <v>26.441717791411044</v>
      </c>
      <c r="D60" s="9">
        <f>C60/(HLOOKUP(B60,'Exh 4 Econ Indicators'!$B$2:$S$8,2,FALSE)/HLOOKUP($B$60,'Exh 4 Econ Indicators'!$B$2:$S$8,2,FALSE))</f>
        <v>26.441717791411044</v>
      </c>
      <c r="E60" s="9"/>
      <c r="K60" s="45"/>
      <c r="L60" s="9"/>
    </row>
    <row r="61" spans="1:12" x14ac:dyDescent="0.25">
      <c r="B61" s="37">
        <v>2013</v>
      </c>
      <c r="C61" s="9">
        <f>1000*'Exh 6 Stores BS'!O84/('Exh 6 Stores BS'!C83*'Exh 6 Stores BS'!D83)</f>
        <v>26.885938650306748</v>
      </c>
      <c r="D61" s="9">
        <f>C61/(HLOOKUP(B61,'Exh 4 Econ Indicators'!$B$2:$S$8,2,FALSE)/HLOOKUP($B$60,'Exh 4 Econ Indicators'!$B$2:$S$8,2,FALSE))</f>
        <v>26.441717791411044</v>
      </c>
      <c r="E61" s="9"/>
      <c r="K61" s="45"/>
      <c r="L61" s="9"/>
    </row>
    <row r="62" spans="1:12" x14ac:dyDescent="0.25">
      <c r="B62" s="37">
        <v>2014</v>
      </c>
      <c r="C62" s="9">
        <f>1000*'Exh 6 Stores BS'!P93/('Exh 6 Stores BS'!C92*'Exh 6 Stores BS'!D92)</f>
        <v>27.372574139877301</v>
      </c>
      <c r="D62" s="9">
        <f>C62/(HLOOKUP(B62,'Exh 4 Econ Indicators'!$B$2:$S$8,2,FALSE)/HLOOKUP($B$60,'Exh 4 Econ Indicators'!$B$2:$S$8,2,FALSE))</f>
        <v>26.441717791411044</v>
      </c>
      <c r="E62" s="9"/>
      <c r="K62" s="45"/>
      <c r="L62" s="9"/>
    </row>
    <row r="63" spans="1:12" x14ac:dyDescent="0.25">
      <c r="B63" s="37">
        <v>2015</v>
      </c>
      <c r="C63" s="9">
        <f>1000*'Exh 6 Stores BS'!Q102/('Exh 6 Stores BS'!C101*'Exh 6 Stores BS'!D101)</f>
        <v>27.903602078190918</v>
      </c>
      <c r="D63" s="9">
        <f>C63/(HLOOKUP(B63,'Exh 4 Econ Indicators'!$B$2:$S$8,2,FALSE)/HLOOKUP($B$60,'Exh 4 Econ Indicators'!$B$2:$S$8,2,FALSE))</f>
        <v>26.44171779141104</v>
      </c>
      <c r="E63" s="9"/>
      <c r="K63" s="45"/>
      <c r="L63" s="9"/>
    </row>
    <row r="64" spans="1:12" x14ac:dyDescent="0.25">
      <c r="B64" s="37"/>
      <c r="C64" s="9"/>
      <c r="D64" s="45"/>
      <c r="E64" s="9"/>
      <c r="K64" s="45"/>
      <c r="L64" s="9"/>
    </row>
    <row r="65" spans="1:7" x14ac:dyDescent="0.25">
      <c r="B65" s="37"/>
      <c r="D65" s="45"/>
      <c r="E65" s="9"/>
    </row>
    <row r="66" spans="1:7" x14ac:dyDescent="0.25">
      <c r="C66" s="91" t="s">
        <v>33</v>
      </c>
      <c r="D66" s="91" t="s">
        <v>57</v>
      </c>
    </row>
    <row r="67" spans="1:7" x14ac:dyDescent="0.25">
      <c r="A67" t="s">
        <v>58</v>
      </c>
      <c r="B67">
        <v>2003</v>
      </c>
      <c r="C67" s="6">
        <f>'Exh 6 Stores BS'!$M$4/'Exh 6 Stores BS'!$E$4</f>
        <v>0.90614525139664803</v>
      </c>
      <c r="D67" s="6">
        <f>C67/(HLOOKUP(B67+8,'Exh 4 Econ Indicators'!$B$2:$S$8,2,FALSE)/HLOOKUP(B67,'Exh 4 Econ Indicators'!$B$2:$S$8,2,FALSE))</f>
        <v>0.74002344035769718</v>
      </c>
      <c r="E67" s="3"/>
      <c r="G67" s="3"/>
    </row>
    <row r="68" spans="1:7" x14ac:dyDescent="0.25">
      <c r="B68" s="4">
        <v>2004</v>
      </c>
      <c r="C68" s="95">
        <f>'Exh 6 Stores BS'!N12/'Exh 6 Stores BS'!F12</f>
        <v>0.79625531914893621</v>
      </c>
      <c r="D68" s="95">
        <f>C68/(HLOOKUP(B68+8,'Exh 4 Econ Indicators'!$B$2:$S$8,2,FALSE)/HLOOKUP(B68,'Exh 4 Econ Indicators'!$B$2:$S$8,2,FALSE))</f>
        <v>0.65995961356458621</v>
      </c>
      <c r="E68" s="3"/>
      <c r="G68" s="3"/>
    </row>
    <row r="69" spans="1:7" x14ac:dyDescent="0.25">
      <c r="B69" s="72" t="s">
        <v>3</v>
      </c>
      <c r="D69" s="39">
        <f>ROUND(AVERAGE(D67:D68),4)</f>
        <v>0.7</v>
      </c>
      <c r="E69" s="5"/>
      <c r="G69" s="3"/>
    </row>
  </sheetData>
  <pageMargins left="0.7" right="0.7" top="0.75" bottom="0.75" header="0.3" footer="0.3"/>
  <pageSetup orientation="landscape"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5"/>
  <sheetViews>
    <sheetView zoomScale="105" zoomScaleNormal="105" workbookViewId="0"/>
  </sheetViews>
  <sheetFormatPr defaultColWidth="8.85546875" defaultRowHeight="15" x14ac:dyDescent="0.25"/>
  <cols>
    <col min="1" max="1" width="37.42578125" customWidth="1"/>
    <col min="2" max="2" width="9.42578125" bestFit="1" customWidth="1"/>
    <col min="4" max="7" width="9.42578125" bestFit="1" customWidth="1"/>
  </cols>
  <sheetData>
    <row r="1" spans="1:16384" ht="18.75" x14ac:dyDescent="0.3">
      <c r="A1" s="12" t="s">
        <v>61</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c r="XFD1" s="12"/>
    </row>
    <row r="2" spans="1:16384" x14ac:dyDescent="0.25">
      <c r="A2" s="22"/>
      <c r="B2" s="31">
        <v>1</v>
      </c>
      <c r="C2" s="31">
        <v>2</v>
      </c>
      <c r="D2" s="31">
        <v>3</v>
      </c>
      <c r="E2" s="31">
        <v>4</v>
      </c>
      <c r="F2" s="31">
        <v>5</v>
      </c>
      <c r="G2" s="31">
        <v>6</v>
      </c>
      <c r="H2" s="31">
        <v>7</v>
      </c>
      <c r="I2" s="59"/>
      <c r="J2" s="59"/>
      <c r="K2" s="59"/>
    </row>
    <row r="3" spans="1:16384" x14ac:dyDescent="0.25">
      <c r="A3" s="22" t="s">
        <v>21</v>
      </c>
      <c r="B3" s="6"/>
      <c r="C3" s="100">
        <v>0.70199999999999996</v>
      </c>
      <c r="D3" s="100">
        <v>0.33500000000000002</v>
      </c>
      <c r="E3" s="100">
        <v>0.22900000000000001</v>
      </c>
      <c r="F3" s="100">
        <v>9.7000000000000003E-2</v>
      </c>
      <c r="G3" s="100">
        <v>1.4999999999999999E-2</v>
      </c>
      <c r="H3" s="100">
        <v>3.0000000000000001E-3</v>
      </c>
      <c r="J3" s="27"/>
    </row>
    <row r="4" spans="1:16384" x14ac:dyDescent="0.25">
      <c r="A4" s="22" t="s">
        <v>2</v>
      </c>
      <c r="B4" s="100">
        <v>0.70899999999999996</v>
      </c>
      <c r="C4" s="100">
        <v>0.63700000000000001</v>
      </c>
      <c r="D4" s="100">
        <v>0.56200000000000006</v>
      </c>
      <c r="E4" s="100">
        <v>0.39900000000000002</v>
      </c>
      <c r="F4" s="100">
        <f t="shared" ref="F4:H6" si="0">E4</f>
        <v>0.39900000000000002</v>
      </c>
      <c r="G4" s="100">
        <f t="shared" si="0"/>
        <v>0.39900000000000002</v>
      </c>
      <c r="H4" s="100">
        <f t="shared" si="0"/>
        <v>0.39900000000000002</v>
      </c>
    </row>
    <row r="5" spans="1:16384" x14ac:dyDescent="0.25">
      <c r="A5" s="22" t="s">
        <v>67</v>
      </c>
      <c r="B5" s="100">
        <v>0.193</v>
      </c>
      <c r="C5" s="100">
        <v>0.183</v>
      </c>
      <c r="D5" s="100">
        <v>0.17299999999999999</v>
      </c>
      <c r="E5" s="100">
        <v>0.13600000000000001</v>
      </c>
      <c r="F5" s="100">
        <f t="shared" si="0"/>
        <v>0.13600000000000001</v>
      </c>
      <c r="G5" s="100">
        <f t="shared" si="0"/>
        <v>0.13600000000000001</v>
      </c>
      <c r="H5" s="100">
        <f t="shared" si="0"/>
        <v>0.13600000000000001</v>
      </c>
    </row>
    <row r="6" spans="1:16384" x14ac:dyDescent="0.25">
      <c r="A6" s="22" t="s">
        <v>81</v>
      </c>
      <c r="B6" s="100">
        <v>0.11600000000000001</v>
      </c>
      <c r="C6" s="100">
        <v>8.8999999999999996E-2</v>
      </c>
      <c r="D6" s="100">
        <v>8.2000000000000003E-2</v>
      </c>
      <c r="E6" s="100">
        <v>7.1999999999999995E-2</v>
      </c>
      <c r="F6" s="100">
        <f t="shared" si="0"/>
        <v>7.1999999999999995E-2</v>
      </c>
      <c r="G6" s="100">
        <f t="shared" si="0"/>
        <v>7.1999999999999995E-2</v>
      </c>
      <c r="H6" s="100">
        <f t="shared" si="0"/>
        <v>7.1999999999999995E-2</v>
      </c>
    </row>
    <row r="7" spans="1:16384" x14ac:dyDescent="0.25">
      <c r="A7" s="22" t="s">
        <v>82</v>
      </c>
      <c r="B7" s="100">
        <v>0.32400000000000001</v>
      </c>
      <c r="C7" s="99"/>
      <c r="D7" s="101"/>
      <c r="E7" s="101"/>
      <c r="F7" s="101"/>
      <c r="G7" s="22"/>
      <c r="H7" s="22"/>
    </row>
    <row r="8" spans="1:16384" x14ac:dyDescent="0.25">
      <c r="A8" s="22" t="s">
        <v>68</v>
      </c>
      <c r="B8" s="100">
        <v>0.47599999999999998</v>
      </c>
      <c r="C8" s="99"/>
      <c r="D8" s="101"/>
      <c r="E8" s="101"/>
      <c r="F8" s="101"/>
      <c r="G8" s="22"/>
      <c r="H8" s="22"/>
    </row>
    <row r="9" spans="1:16384" x14ac:dyDescent="0.25">
      <c r="A9" s="22" t="s">
        <v>83</v>
      </c>
      <c r="B9" s="100">
        <v>0.16300000000000001</v>
      </c>
      <c r="C9" s="99"/>
      <c r="D9" s="22"/>
      <c r="E9" s="22"/>
      <c r="F9" s="22"/>
      <c r="G9" s="22"/>
      <c r="H9" s="22"/>
    </row>
    <row r="10" spans="1:16384" x14ac:dyDescent="0.25">
      <c r="A10" s="22" t="s">
        <v>84</v>
      </c>
      <c r="B10" s="100">
        <v>4.8000000000000001E-2</v>
      </c>
      <c r="C10" s="99"/>
      <c r="D10" s="22"/>
      <c r="E10" s="22"/>
      <c r="F10" s="22"/>
      <c r="G10" s="22"/>
      <c r="H10" s="22"/>
    </row>
    <row r="11" spans="1:16384" x14ac:dyDescent="0.25">
      <c r="A11" s="22" t="s">
        <v>12</v>
      </c>
      <c r="B11" s="102">
        <v>4</v>
      </c>
      <c r="C11" s="99"/>
      <c r="D11" s="22"/>
      <c r="E11" s="22"/>
      <c r="F11" s="22"/>
      <c r="G11" s="22"/>
      <c r="H11" s="22"/>
    </row>
    <row r="12" spans="1:16384" x14ac:dyDescent="0.25">
      <c r="A12" s="22" t="s">
        <v>66</v>
      </c>
      <c r="B12" s="104">
        <v>0.4</v>
      </c>
      <c r="C12" s="99"/>
      <c r="D12" s="22"/>
      <c r="E12" s="22"/>
      <c r="F12" s="22"/>
      <c r="G12" s="22"/>
      <c r="H12" s="22"/>
    </row>
    <row r="13" spans="1:16384" x14ac:dyDescent="0.25">
      <c r="A13" t="s">
        <v>65</v>
      </c>
      <c r="B13" s="60">
        <v>0.05</v>
      </c>
      <c r="C13" s="99"/>
      <c r="D13" s="22"/>
      <c r="E13" s="22"/>
      <c r="F13" s="22"/>
      <c r="G13" s="22"/>
      <c r="H13" s="22"/>
    </row>
    <row r="14" spans="1:16384" x14ac:dyDescent="0.25">
      <c r="A14" s="22" t="s">
        <v>62</v>
      </c>
      <c r="B14" s="100">
        <f>2.5%+1.4*8%</f>
        <v>0.13699999999999998</v>
      </c>
      <c r="C14" s="22"/>
      <c r="D14" s="22"/>
      <c r="E14" s="22"/>
      <c r="F14" s="22"/>
      <c r="G14" s="22"/>
      <c r="H14" s="22"/>
    </row>
    <row r="15" spans="1:16384" x14ac:dyDescent="0.25">
      <c r="A15" s="22" t="s">
        <v>85</v>
      </c>
      <c r="B15" s="71">
        <v>2.5000000000000001E-2</v>
      </c>
      <c r="C15" s="22"/>
      <c r="D15" s="28"/>
      <c r="E15" s="22"/>
      <c r="F15" s="22"/>
      <c r="G15" s="22"/>
      <c r="H15" s="22"/>
    </row>
    <row r="16" spans="1:16384" x14ac:dyDescent="0.25">
      <c r="A16" t="s">
        <v>38</v>
      </c>
      <c r="B16" s="58">
        <v>9945</v>
      </c>
    </row>
    <row r="18" spans="1:13" x14ac:dyDescent="0.25">
      <c r="C18" s="3"/>
    </row>
    <row r="19" spans="1:13" x14ac:dyDescent="0.25">
      <c r="B19" s="8"/>
      <c r="C19" s="8"/>
      <c r="J19" s="9"/>
      <c r="K19" s="9"/>
      <c r="L19" s="9"/>
      <c r="M19" s="9"/>
    </row>
    <row r="20" spans="1:13" x14ac:dyDescent="0.25">
      <c r="A20" s="21"/>
      <c r="B20" s="44"/>
      <c r="C20" s="44"/>
      <c r="D20" s="44"/>
      <c r="E20" s="44"/>
      <c r="F20" s="44"/>
      <c r="G20" s="44"/>
      <c r="J20" s="9"/>
      <c r="K20" s="9"/>
      <c r="L20" s="9"/>
      <c r="M20" s="9"/>
    </row>
    <row r="21" spans="1:13" x14ac:dyDescent="0.25">
      <c r="A21" s="21"/>
      <c r="B21" s="44"/>
      <c r="C21" s="44"/>
      <c r="D21" s="44"/>
      <c r="E21" s="44"/>
      <c r="F21" s="44"/>
      <c r="G21" s="44"/>
      <c r="J21" s="9"/>
      <c r="K21" s="9"/>
      <c r="L21" s="9"/>
      <c r="M21" s="9"/>
    </row>
    <row r="22" spans="1:13" x14ac:dyDescent="0.25">
      <c r="A22" s="21"/>
      <c r="B22" s="44"/>
      <c r="C22" s="44"/>
      <c r="D22" s="44"/>
      <c r="E22" s="44"/>
      <c r="F22" s="44"/>
      <c r="G22" s="44"/>
      <c r="J22" s="9"/>
      <c r="K22" s="9"/>
      <c r="L22" s="9"/>
      <c r="M22" s="9"/>
    </row>
    <row r="23" spans="1:13" x14ac:dyDescent="0.25">
      <c r="J23" s="6"/>
      <c r="K23" s="6"/>
      <c r="L23" s="6"/>
      <c r="M23" s="6"/>
    </row>
    <row r="24" spans="1:13" x14ac:dyDescent="0.25">
      <c r="J24" s="43"/>
      <c r="K24" s="43"/>
      <c r="L24" s="43"/>
      <c r="M24" s="43"/>
    </row>
    <row r="25" spans="1:13" x14ac:dyDescent="0.25">
      <c r="J25" s="6"/>
      <c r="K25" s="6"/>
      <c r="L25" s="6"/>
      <c r="M25" s="6"/>
    </row>
  </sheetData>
  <pageMargins left="0.7" right="0.7" top="0.75" bottom="0.75" header="0.3" footer="0.3"/>
  <pageSetup scale="68"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7"/>
  <sheetViews>
    <sheetView workbookViewId="0">
      <pane xSplit="2" ySplit="2" topLeftCell="C3" activePane="bottomRight" state="frozen"/>
      <selection pane="topRight" activeCell="D1" sqref="D1"/>
      <selection pane="bottomLeft" activeCell="A3" sqref="A3"/>
      <selection pane="bottomRight" activeCell="C17" sqref="C17"/>
    </sheetView>
  </sheetViews>
  <sheetFormatPr defaultColWidth="8.85546875" defaultRowHeight="15" x14ac:dyDescent="0.25"/>
  <cols>
    <col min="1" max="1" width="5.7109375" customWidth="1"/>
    <col min="2" max="2" width="25.7109375" customWidth="1"/>
    <col min="3" max="10" width="9.140625" customWidth="1"/>
  </cols>
  <sheetData>
    <row r="1" spans="1:12" ht="18.75" x14ac:dyDescent="0.3">
      <c r="A1" s="12" t="s">
        <v>79</v>
      </c>
    </row>
    <row r="2" spans="1:12" ht="15" customHeight="1" x14ac:dyDescent="0.25">
      <c r="C2" s="4">
        <v>2012</v>
      </c>
      <c r="D2" s="10">
        <v>2013</v>
      </c>
      <c r="E2" s="10">
        <v>2014</v>
      </c>
      <c r="F2" s="10">
        <v>2015</v>
      </c>
      <c r="G2" s="10">
        <v>2016</v>
      </c>
      <c r="H2" s="10">
        <v>2017</v>
      </c>
      <c r="I2" s="10">
        <v>2018</v>
      </c>
      <c r="J2" s="10">
        <v>2019</v>
      </c>
    </row>
    <row r="3" spans="1:12" ht="15" customHeight="1" x14ac:dyDescent="0.25">
      <c r="B3" t="s">
        <v>0</v>
      </c>
      <c r="C3" s="46">
        <f>+('Exh 5 Stores IS'!N4+'Exh 5 Stores IS'!N12+'Exh 5 Stores IS'!N20+'Exh 5 Stores IS'!N28+'Exh 5 Stores IS'!N36+'Exh 5 Stores IS'!N44+'Exh 5 Stores IS'!N52+'Exh 5 Stores IS'!N60+'Exh 5 Stores IS'!N68+'Exh 5 Stores IS'!N76+'Exh 5 Stores IS'!N84+'Exh 5 Stores IS'!N92+'Exh 5 Stores IS'!N100)</f>
        <v>148217.90000000002</v>
      </c>
      <c r="D3" s="50"/>
      <c r="E3" s="50"/>
      <c r="F3" s="50"/>
      <c r="G3" s="50"/>
      <c r="H3" s="50"/>
      <c r="I3" s="50"/>
      <c r="J3" s="50"/>
    </row>
    <row r="4" spans="1:12" ht="15" customHeight="1" x14ac:dyDescent="0.25">
      <c r="B4" t="s">
        <v>1</v>
      </c>
      <c r="C4" s="46">
        <f>-('Exh 5 Stores IS'!N5+'Exh 5 Stores IS'!N13+'Exh 5 Stores IS'!N21+'Exh 5 Stores IS'!N29+'Exh 5 Stores IS'!N37+'Exh 5 Stores IS'!N45+'Exh 5 Stores IS'!N53+'Exh 5 Stores IS'!N61+'Exh 5 Stores IS'!N69+'Exh 5 Stores IS'!N77+'Exh 5 Stores IS'!N85+'Exh 5 Stores IS'!N93+'Exh 5 Stores IS'!N101)</f>
        <v>-61955.099999999991</v>
      </c>
      <c r="D4" s="50"/>
      <c r="E4" s="50"/>
      <c r="F4" s="50"/>
      <c r="G4" s="50"/>
      <c r="H4" s="50"/>
      <c r="I4" s="50"/>
      <c r="J4" s="50"/>
      <c r="L4" s="3"/>
    </row>
    <row r="5" spans="1:12" ht="15" customHeight="1" x14ac:dyDescent="0.25">
      <c r="B5" t="s">
        <v>80</v>
      </c>
      <c r="C5" s="46">
        <f>-('Exh 5 Stores IS'!N6+'Exh 5 Stores IS'!N14+'Exh 5 Stores IS'!N22+'Exh 5 Stores IS'!N30+'Exh 5 Stores IS'!N38+'Exh 5 Stores IS'!N46+'Exh 5 Stores IS'!N54+'Exh 5 Stores IS'!N62+'Exh 5 Stores IS'!N70+'Exh 5 Stores IS'!N78+'Exh 5 Stores IS'!N86+'Exh 5 Stores IS'!N94+'Exh 5 Stores IS'!N102)</f>
        <v>-21252.500000000004</v>
      </c>
      <c r="D5" s="50"/>
      <c r="E5" s="50"/>
      <c r="F5" s="50"/>
      <c r="G5" s="50"/>
      <c r="H5" s="50"/>
      <c r="I5" s="50"/>
      <c r="J5" s="50"/>
      <c r="L5" s="3"/>
    </row>
    <row r="6" spans="1:12" ht="15" customHeight="1" x14ac:dyDescent="0.25">
      <c r="B6" t="s">
        <v>4</v>
      </c>
      <c r="C6" s="46">
        <f>-('Exh 5 Stores IS'!N7+'Exh 5 Stores IS'!N15+'Exh 5 Stores IS'!N23+'Exh 5 Stores IS'!N31+'Exh 5 Stores IS'!N39+'Exh 5 Stores IS'!N47+'Exh 5 Stores IS'!N55+'Exh 5 Stores IS'!N63+'Exh 5 Stores IS'!N71+'Exh 5 Stores IS'!N79+'Exh 5 Stores IS'!N87+'Exh 5 Stores IS'!N95+'Exh 5 Stores IS'!N103)</f>
        <v>-10743.699999999999</v>
      </c>
      <c r="D6" s="50"/>
      <c r="E6" s="50"/>
      <c r="F6" s="50"/>
      <c r="G6" s="50"/>
      <c r="H6" s="50"/>
      <c r="I6" s="50"/>
      <c r="J6" s="50"/>
      <c r="L6" s="3"/>
    </row>
    <row r="7" spans="1:12" ht="15" customHeight="1" x14ac:dyDescent="0.25">
      <c r="B7" t="s">
        <v>8</v>
      </c>
      <c r="C7" s="46">
        <f>-('Exh 5 Stores IS'!N8+'Exh 5 Stores IS'!N16+'Exh 5 Stores IS'!N24+'Exh 5 Stores IS'!N32+'Exh 5 Stores IS'!N40+'Exh 5 Stores IS'!N48+'Exh 5 Stores IS'!N56+'Exh 5 Stores IS'!N64+'Exh 5 Stores IS'!N72+'Exh 5 Stores IS'!N80+'Exh 5 Stores IS'!N88+'Exh 5 Stores IS'!N96+'Exh 5 Stores IS'!N104)</f>
        <v>-798.1</v>
      </c>
      <c r="D7" s="50"/>
      <c r="E7" s="50"/>
      <c r="F7" s="50"/>
      <c r="G7" s="50"/>
      <c r="H7" s="50"/>
      <c r="I7" s="50"/>
      <c r="J7" s="50"/>
      <c r="L7" s="3"/>
    </row>
    <row r="8" spans="1:12" ht="15" customHeight="1" x14ac:dyDescent="0.25">
      <c r="B8" t="s">
        <v>9</v>
      </c>
      <c r="C8" s="46">
        <f>-('Exh 5 Stores IS'!N9+'Exh 5 Stores IS'!N17+'Exh 5 Stores IS'!N25+'Exh 5 Stores IS'!N33+'Exh 5 Stores IS'!N41+'Exh 5 Stores IS'!N49+'Exh 5 Stores IS'!N57+'Exh 5 Stores IS'!N65+'Exh 5 Stores IS'!N73+'Exh 5 Stores IS'!N81+'Exh 5 Stores IS'!N89+'Exh 5 Stores IS'!N97+'Exh 5 Stores IS'!N105)</f>
        <v>-9320</v>
      </c>
      <c r="D8" s="50"/>
      <c r="E8" s="50"/>
      <c r="F8" s="50"/>
      <c r="G8" s="50"/>
      <c r="H8" s="50"/>
      <c r="I8" s="50"/>
      <c r="J8" s="50"/>
      <c r="L8" s="3"/>
    </row>
    <row r="9" spans="1:12" ht="15" customHeight="1" x14ac:dyDescent="0.25">
      <c r="B9" t="s">
        <v>90</v>
      </c>
      <c r="C9" s="46">
        <f t="shared" ref="C9" si="0">-$C$17*C3</f>
        <v>-7410.8950000000013</v>
      </c>
      <c r="D9" s="50"/>
      <c r="E9" s="50"/>
      <c r="F9" s="50"/>
      <c r="G9" s="50"/>
      <c r="H9" s="50"/>
      <c r="I9" s="50"/>
      <c r="J9" s="50"/>
      <c r="L9" s="3"/>
    </row>
    <row r="10" spans="1:12" s="18" customFormat="1" ht="15" hidden="1" customHeight="1" x14ac:dyDescent="0.25">
      <c r="B10" s="18" t="s">
        <v>16</v>
      </c>
      <c r="C10" s="8">
        <f t="shared" ref="C10" si="1">-$C$16*SUM(C3:C9)</f>
        <v>-14695.042000000014</v>
      </c>
      <c r="D10" s="8"/>
      <c r="E10" s="8"/>
      <c r="F10" s="8"/>
      <c r="G10" s="8"/>
      <c r="H10" s="8"/>
      <c r="I10" s="8"/>
      <c r="J10" s="8"/>
      <c r="L10" s="3"/>
    </row>
    <row r="11" spans="1:12" s="18" customFormat="1" ht="15" hidden="1" customHeight="1" x14ac:dyDescent="0.25">
      <c r="B11" s="18" t="s">
        <v>17</v>
      </c>
      <c r="C11" s="8">
        <f>'Exh 2 Teuer IS'!L11</f>
        <v>0</v>
      </c>
      <c r="D11" s="8"/>
      <c r="E11" s="8"/>
      <c r="F11" s="8"/>
      <c r="G11" s="8"/>
      <c r="H11" s="8"/>
      <c r="I11" s="8"/>
      <c r="J11" s="8"/>
      <c r="L11" s="3"/>
    </row>
    <row r="12" spans="1:12" ht="15" customHeight="1" x14ac:dyDescent="0.25">
      <c r="B12" s="4" t="s">
        <v>5</v>
      </c>
      <c r="C12" s="13">
        <f>'Exh 2 Teuer IS'!L12</f>
        <v>-14695.042264812339</v>
      </c>
      <c r="D12" s="13"/>
      <c r="E12" s="13"/>
      <c r="F12" s="13"/>
      <c r="G12" s="13"/>
      <c r="H12" s="13"/>
      <c r="I12" s="13"/>
      <c r="J12" s="13"/>
      <c r="L12" s="3"/>
    </row>
    <row r="13" spans="1:12" ht="15" customHeight="1" x14ac:dyDescent="0.25">
      <c r="B13" t="s">
        <v>18</v>
      </c>
      <c r="C13" s="8">
        <f t="shared" ref="C13" si="2">SUM(C3:C9)+C12</f>
        <v>22042.562735187694</v>
      </c>
      <c r="D13" s="8"/>
      <c r="E13" s="8"/>
      <c r="F13" s="8"/>
      <c r="G13" s="8"/>
      <c r="H13" s="8"/>
      <c r="I13" s="8"/>
      <c r="J13" s="8"/>
      <c r="L13" s="3"/>
    </row>
    <row r="14" spans="1:12" ht="15" customHeight="1" x14ac:dyDescent="0.25"/>
    <row r="15" spans="1:12" ht="15" customHeight="1" x14ac:dyDescent="0.25">
      <c r="A15" s="32" t="s">
        <v>6</v>
      </c>
      <c r="C15" s="56"/>
      <c r="D15" s="56"/>
      <c r="E15" s="56"/>
      <c r="F15" s="56"/>
      <c r="G15" s="56"/>
      <c r="H15" s="56"/>
      <c r="I15" s="56"/>
      <c r="J15" s="56"/>
    </row>
    <row r="16" spans="1:12" ht="15" customHeight="1" x14ac:dyDescent="0.25">
      <c r="B16" t="s">
        <v>66</v>
      </c>
      <c r="C16" s="60">
        <v>0.4</v>
      </c>
      <c r="D16" s="6"/>
    </row>
    <row r="17" spans="2:10" ht="15" customHeight="1" x14ac:dyDescent="0.25">
      <c r="B17" t="s">
        <v>65</v>
      </c>
      <c r="C17" s="60">
        <f>'Exh 10 Forecast Parameters'!B13</f>
        <v>0.05</v>
      </c>
      <c r="D17" s="6"/>
    </row>
    <row r="18" spans="2:10" x14ac:dyDescent="0.25">
      <c r="C18" s="46"/>
      <c r="D18" s="46"/>
      <c r="E18" s="46"/>
      <c r="F18" s="46"/>
      <c r="G18" s="46"/>
      <c r="H18" s="46"/>
      <c r="I18" s="46"/>
      <c r="J18" s="67"/>
    </row>
    <row r="19" spans="2:10" x14ac:dyDescent="0.25">
      <c r="C19" s="6"/>
      <c r="D19" s="6"/>
      <c r="E19" s="6"/>
      <c r="F19" s="6"/>
      <c r="G19" s="6"/>
      <c r="H19" s="6"/>
      <c r="I19" s="6"/>
      <c r="J19" s="6"/>
    </row>
    <row r="20" spans="2:10" x14ac:dyDescent="0.25">
      <c r="C20" s="6"/>
      <c r="D20" s="6"/>
      <c r="E20" s="6"/>
      <c r="F20" s="6"/>
      <c r="G20" s="6"/>
      <c r="H20" s="6"/>
      <c r="I20" s="6"/>
      <c r="J20" s="6"/>
    </row>
    <row r="21" spans="2:10" x14ac:dyDescent="0.25">
      <c r="C21" s="6"/>
      <c r="D21" s="6"/>
      <c r="E21" s="6"/>
      <c r="F21" s="6"/>
      <c r="G21" s="6"/>
      <c r="H21" s="6"/>
      <c r="I21" s="6"/>
      <c r="J21" s="6"/>
    </row>
    <row r="22" spans="2:10" x14ac:dyDescent="0.25">
      <c r="C22" s="6"/>
      <c r="D22" s="6"/>
      <c r="E22" s="6"/>
      <c r="F22" s="6"/>
      <c r="G22" s="6"/>
      <c r="H22" s="6"/>
      <c r="I22" s="6"/>
      <c r="J22" s="6"/>
    </row>
    <row r="23" spans="2:10" x14ac:dyDescent="0.25">
      <c r="C23" s="6"/>
      <c r="D23" s="6"/>
      <c r="E23" s="6"/>
      <c r="F23" s="6"/>
      <c r="G23" s="6"/>
      <c r="H23" s="6"/>
      <c r="I23" s="6"/>
      <c r="J23" s="6"/>
    </row>
    <row r="24" spans="2:10" x14ac:dyDescent="0.25">
      <c r="C24" s="6"/>
      <c r="D24" s="6"/>
      <c r="E24" s="6"/>
      <c r="F24" s="6"/>
      <c r="G24" s="6"/>
      <c r="H24" s="6"/>
      <c r="I24" s="6"/>
      <c r="J24" s="6"/>
    </row>
    <row r="25" spans="2:10" x14ac:dyDescent="0.25">
      <c r="C25" s="6"/>
      <c r="D25" s="6"/>
      <c r="E25" s="6"/>
      <c r="F25" s="6"/>
      <c r="G25" s="6"/>
      <c r="H25" s="6"/>
      <c r="I25" s="6"/>
      <c r="J25" s="6"/>
    </row>
    <row r="26" spans="2:10" x14ac:dyDescent="0.25">
      <c r="C26" s="6"/>
      <c r="D26" s="6"/>
      <c r="E26" s="6"/>
      <c r="F26" s="6"/>
      <c r="G26" s="6"/>
      <c r="H26" s="6"/>
      <c r="I26" s="6"/>
      <c r="J26" s="6"/>
    </row>
    <row r="27" spans="2:10" x14ac:dyDescent="0.25">
      <c r="C27" s="6"/>
      <c r="D27" s="6"/>
      <c r="E27" s="6"/>
      <c r="F27" s="6"/>
      <c r="G27" s="6"/>
      <c r="H27" s="6"/>
      <c r="I27" s="6"/>
      <c r="J27" s="6"/>
    </row>
  </sheetData>
  <pageMargins left="0.7" right="0.7" top="0.75" bottom="0.75" header="0.3" footer="0.3"/>
  <pageSetup scale="59" fitToHeight="0" orientation="landscape"/>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sheetViews>
  <sheetFormatPr defaultColWidth="8.85546875" defaultRowHeight="15" x14ac:dyDescent="0.25"/>
  <cols>
    <col min="1" max="1" width="5.7109375" customWidth="1"/>
    <col min="2" max="2" width="25.7109375" customWidth="1"/>
    <col min="3" max="9" width="9.140625" customWidth="1"/>
  </cols>
  <sheetData>
    <row r="1" spans="1:9" ht="18.75" x14ac:dyDescent="0.3">
      <c r="A1" s="12" t="s">
        <v>78</v>
      </c>
    </row>
    <row r="2" spans="1:9" ht="15" customHeight="1" x14ac:dyDescent="0.25">
      <c r="C2" s="4">
        <v>2012</v>
      </c>
      <c r="D2" s="10">
        <v>2013</v>
      </c>
      <c r="E2" s="10">
        <v>2014</v>
      </c>
      <c r="F2" s="10">
        <v>2015</v>
      </c>
      <c r="G2" s="10">
        <v>2016</v>
      </c>
      <c r="H2" s="10">
        <v>2017</v>
      </c>
      <c r="I2" s="10">
        <v>2018</v>
      </c>
    </row>
    <row r="3" spans="1:9" ht="15" customHeight="1" x14ac:dyDescent="0.25">
      <c r="A3" s="41" t="s">
        <v>25</v>
      </c>
      <c r="C3" s="11"/>
      <c r="D3" s="40"/>
      <c r="E3" s="40"/>
      <c r="F3" s="40"/>
      <c r="G3" s="40"/>
      <c r="H3" s="40"/>
      <c r="I3" s="40"/>
    </row>
    <row r="4" spans="1:9" ht="15" customHeight="1" x14ac:dyDescent="0.25">
      <c r="B4" t="s">
        <v>88</v>
      </c>
      <c r="C4" s="50">
        <f>'Exh 6 Stores BS'!N5+'Exh 6 Stores BS'!N13+'Exh 6 Stores BS'!N21+'Exh 6 Stores BS'!N29+'Exh 6 Stores BS'!N37+'Exh 6 Stores BS'!N45+'Exh 6 Stores BS'!N53+'Exh 6 Stores BS'!N61+'Exh 6 Stores BS'!N69+'Exh 6 Stores BS'!N77+'Exh 6 Stores BS'!N85+'Exh 6 Stores BS'!N94+'Exh 6 Stores BS'!N103</f>
        <v>48199.959146758287</v>
      </c>
      <c r="D4" s="50"/>
      <c r="E4" s="50"/>
      <c r="F4" s="50"/>
      <c r="G4" s="50"/>
      <c r="H4" s="50"/>
      <c r="I4" s="50"/>
    </row>
    <row r="5" spans="1:9" ht="15" customHeight="1" x14ac:dyDescent="0.25">
      <c r="B5" t="s">
        <v>11</v>
      </c>
      <c r="C5" s="51">
        <f>'Exh 6 Stores BS'!N6+'Exh 6 Stores BS'!N14+'Exh 6 Stores BS'!N22+'Exh 6 Stores BS'!N30+'Exh 6 Stores BS'!N38+'Exh 6 Stores BS'!N46+'Exh 6 Stores BS'!N54+'Exh 6 Stores BS'!N62+'Exh 6 Stores BS'!N70+'Exh 6 Stores BS'!N78+'Exh 6 Stores BS'!N86+'Exh 6 Stores BS'!N95+'Exh 6 Stores BS'!N104</f>
        <v>33342.956637222087</v>
      </c>
      <c r="D5" s="51"/>
      <c r="E5" s="51"/>
      <c r="F5" s="51"/>
      <c r="G5" s="51"/>
      <c r="H5" s="51"/>
      <c r="I5" s="51"/>
    </row>
    <row r="6" spans="1:9" ht="15" customHeight="1" x14ac:dyDescent="0.25">
      <c r="A6" t="s">
        <v>91</v>
      </c>
      <c r="C6" s="50">
        <f t="shared" ref="C6" si="0">SUM(C4:C5)</f>
        <v>81542.915783980367</v>
      </c>
      <c r="D6" s="50"/>
      <c r="E6" s="50"/>
      <c r="F6" s="50"/>
      <c r="G6" s="50"/>
      <c r="H6" s="50"/>
      <c r="I6" s="50"/>
    </row>
    <row r="7" spans="1:9" ht="15" customHeight="1" x14ac:dyDescent="0.25">
      <c r="B7" t="s">
        <v>7</v>
      </c>
      <c r="C7" s="51">
        <f>'Exh 3 Teuer BS'!L7</f>
        <v>3544.9</v>
      </c>
      <c r="D7" s="51"/>
      <c r="E7" s="51"/>
      <c r="F7" s="51"/>
      <c r="G7" s="51"/>
      <c r="H7" s="51"/>
      <c r="I7" s="51"/>
    </row>
    <row r="8" spans="1:9" ht="15" customHeight="1" x14ac:dyDescent="0.25">
      <c r="A8" t="s">
        <v>92</v>
      </c>
      <c r="C8" s="52">
        <f t="shared" ref="C8" si="1">C6+C7</f>
        <v>85087.815783980361</v>
      </c>
      <c r="D8" s="52"/>
      <c r="E8" s="52"/>
      <c r="F8" s="52"/>
      <c r="G8" s="52"/>
      <c r="H8" s="52"/>
      <c r="I8" s="52"/>
    </row>
    <row r="9" spans="1:9" ht="15" customHeight="1" x14ac:dyDescent="0.25">
      <c r="C9" s="52"/>
      <c r="D9" s="8"/>
      <c r="E9" s="52"/>
      <c r="F9" s="52"/>
      <c r="G9" s="52"/>
      <c r="H9" s="52"/>
      <c r="I9" s="52"/>
    </row>
    <row r="10" spans="1:9" ht="15" customHeight="1" x14ac:dyDescent="0.25">
      <c r="A10" s="32" t="s">
        <v>26</v>
      </c>
      <c r="C10" s="53"/>
      <c r="D10" s="53"/>
      <c r="E10" s="53"/>
      <c r="F10" s="53"/>
      <c r="G10" s="53"/>
      <c r="H10" s="53"/>
      <c r="I10" s="53"/>
    </row>
    <row r="11" spans="1:9" ht="15" customHeight="1" x14ac:dyDescent="0.25">
      <c r="B11" t="s">
        <v>87</v>
      </c>
      <c r="C11" s="50">
        <f>'Exh 6 Stores BS'!N7+'Exh 6 Stores BS'!N15+'Exh 6 Stores BS'!N23+'Exh 6 Stores BS'!N31+'Exh 6 Stores BS'!N39+'Exh 6 Stores BS'!N47+'Exh 6 Stores BS'!N55+'Exh 6 Stores BS'!N63+'Exh 6 Stores BS'!N71+'Exh 6 Stores BS'!N79+'Exh 6 Stores BS'!N87+'Exh 6 Stores BS'!N96+'Exh 6 Stores BS'!N105</f>
        <v>11363.545963450968</v>
      </c>
      <c r="D11" s="50"/>
      <c r="E11" s="50"/>
      <c r="F11" s="50"/>
      <c r="G11" s="50"/>
      <c r="H11" s="50"/>
      <c r="I11" s="50"/>
    </row>
    <row r="12" spans="1:9" ht="15" customHeight="1" x14ac:dyDescent="0.25">
      <c r="B12" t="s">
        <v>86</v>
      </c>
      <c r="C12" s="51">
        <f>'Exh 6 Stores BS'!N8+'Exh 6 Stores BS'!N16+'Exh 6 Stores BS'!N24+'Exh 6 Stores BS'!N32+'Exh 6 Stores BS'!N40+'Exh 6 Stores BS'!N48+'Exh 6 Stores BS'!N56+'Exh 6 Stores BS'!N64+'Exh 6 Stores BS'!N72+'Exh 6 Stores BS'!N80+'Exh 6 Stores BS'!N88+'Exh 6 Stores BS'!N97+'Exh 6 Stores BS'!N106</f>
        <v>1682.2551123017518</v>
      </c>
      <c r="D12" s="51"/>
      <c r="E12" s="51"/>
      <c r="F12" s="51"/>
      <c r="G12" s="51"/>
      <c r="H12" s="51"/>
      <c r="I12" s="51"/>
    </row>
    <row r="13" spans="1:9" ht="15" customHeight="1" x14ac:dyDescent="0.25">
      <c r="A13" t="s">
        <v>93</v>
      </c>
      <c r="C13" s="50">
        <f t="shared" ref="C13" si="2">SUM(C11:C12)</f>
        <v>13045.801075752719</v>
      </c>
      <c r="D13" s="7"/>
      <c r="E13" s="7"/>
      <c r="F13" s="7"/>
      <c r="G13" s="7"/>
      <c r="H13" s="7"/>
      <c r="I13" s="7"/>
    </row>
    <row r="14" spans="1:9" ht="15" customHeight="1" x14ac:dyDescent="0.25">
      <c r="B14" t="s">
        <v>27</v>
      </c>
      <c r="C14" s="62">
        <v>0</v>
      </c>
    </row>
    <row r="15" spans="1:9" ht="15" customHeight="1" x14ac:dyDescent="0.25">
      <c r="B15" t="s">
        <v>28</v>
      </c>
      <c r="C15" s="54">
        <f>'Exh 3 Teuer BS'!L15</f>
        <v>72042.014708227667</v>
      </c>
      <c r="D15" s="54"/>
      <c r="E15" s="54"/>
      <c r="F15" s="54"/>
      <c r="G15" s="54"/>
      <c r="H15" s="54"/>
      <c r="I15" s="54"/>
    </row>
    <row r="16" spans="1:9" ht="15" customHeight="1" x14ac:dyDescent="0.25">
      <c r="A16" t="s">
        <v>94</v>
      </c>
      <c r="C16" s="52">
        <f t="shared" ref="C16" si="3">SUM(C13:C15)</f>
        <v>85087.81578398039</v>
      </c>
      <c r="D16" s="8"/>
      <c r="E16" s="8"/>
      <c r="F16" s="8"/>
      <c r="G16" s="8"/>
      <c r="H16" s="8"/>
      <c r="I16" s="8"/>
    </row>
    <row r="17" spans="1:9" ht="15" customHeight="1" x14ac:dyDescent="0.25">
      <c r="C17" s="8"/>
      <c r="D17" s="8"/>
      <c r="E17" s="8"/>
      <c r="F17" s="8"/>
      <c r="G17" s="8"/>
      <c r="H17" s="8"/>
      <c r="I17" s="8"/>
    </row>
    <row r="18" spans="1:9" ht="15" customHeight="1" x14ac:dyDescent="0.25">
      <c r="B18" s="61" t="s">
        <v>34</v>
      </c>
      <c r="C18" s="8" t="str">
        <f t="shared" ref="C18:I18" si="4">IF(ABS(C8-C16)&gt;0.01,"ERROR","")</f>
        <v/>
      </c>
      <c r="D18" s="8" t="str">
        <f t="shared" si="4"/>
        <v/>
      </c>
      <c r="E18" s="8" t="str">
        <f t="shared" si="4"/>
        <v/>
      </c>
      <c r="F18" s="8" t="str">
        <f t="shared" si="4"/>
        <v/>
      </c>
      <c r="G18" s="8" t="str">
        <f t="shared" si="4"/>
        <v/>
      </c>
      <c r="H18" s="8" t="str">
        <f t="shared" si="4"/>
        <v/>
      </c>
      <c r="I18" s="8" t="str">
        <f t="shared" si="4"/>
        <v/>
      </c>
    </row>
    <row r="19" spans="1:9" ht="15" customHeight="1" x14ac:dyDescent="0.25">
      <c r="C19" s="6"/>
      <c r="D19" s="9"/>
      <c r="E19" s="9"/>
      <c r="F19" s="9"/>
      <c r="G19" s="9"/>
      <c r="H19" s="9"/>
      <c r="I19" s="9"/>
    </row>
    <row r="20" spans="1:9" ht="15" customHeight="1" x14ac:dyDescent="0.25">
      <c r="A20" s="32"/>
      <c r="C20" s="9"/>
      <c r="D20" s="9"/>
      <c r="E20" s="9"/>
      <c r="F20" s="9"/>
      <c r="G20" s="9"/>
      <c r="H20" s="9"/>
      <c r="I20" s="9"/>
    </row>
    <row r="21" spans="1:9" ht="15" customHeight="1" x14ac:dyDescent="0.25">
      <c r="C21" s="6"/>
      <c r="D21" s="56"/>
      <c r="E21" s="6"/>
      <c r="F21" s="6"/>
      <c r="G21" s="6"/>
      <c r="H21" s="6"/>
      <c r="I21" s="6"/>
    </row>
    <row r="22" spans="1:9" ht="15" customHeight="1" x14ac:dyDescent="0.25">
      <c r="B22" s="32"/>
      <c r="C22" s="6"/>
      <c r="D22" s="6"/>
      <c r="E22" s="6"/>
      <c r="F22" s="6"/>
      <c r="G22" s="6"/>
      <c r="H22" s="6"/>
      <c r="I22" s="6"/>
    </row>
    <row r="23" spans="1:9" ht="1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sheetData>
  <pageMargins left="0.7" right="0.7" top="0.75" bottom="0.75" header="0.3" footer="0.3"/>
  <pageSetup scale="6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ColWidth="8.85546875" defaultRowHeight="15" x14ac:dyDescent="0.25"/>
  <cols>
    <col min="1" max="1" width="5.7109375" customWidth="1"/>
    <col min="2" max="2" width="25.7109375" customWidth="1"/>
    <col min="3" max="9" width="9.7109375" customWidth="1"/>
  </cols>
  <sheetData>
    <row r="1" spans="1:12" ht="18.75" x14ac:dyDescent="0.3">
      <c r="A1" s="12" t="s">
        <v>77</v>
      </c>
    </row>
    <row r="2" spans="1:12" x14ac:dyDescent="0.25">
      <c r="C2" s="4">
        <v>2012</v>
      </c>
      <c r="D2" s="4">
        <v>2013</v>
      </c>
      <c r="E2" s="4">
        <f>1+D2</f>
        <v>2014</v>
      </c>
      <c r="F2" s="4">
        <f t="shared" ref="F2:I2" si="0">1+E2</f>
        <v>2015</v>
      </c>
      <c r="G2" s="4">
        <f t="shared" si="0"/>
        <v>2016</v>
      </c>
      <c r="H2" s="4">
        <f t="shared" si="0"/>
        <v>2017</v>
      </c>
      <c r="I2" s="4">
        <f t="shared" si="0"/>
        <v>2018</v>
      </c>
    </row>
    <row r="3" spans="1:12" x14ac:dyDescent="0.25">
      <c r="B3" t="s">
        <v>0</v>
      </c>
      <c r="C3" s="16">
        <f>'Teuer IS Pro Forma'!C3</f>
        <v>148217.90000000002</v>
      </c>
      <c r="D3" s="16"/>
      <c r="E3" s="16"/>
      <c r="F3" s="16"/>
      <c r="G3" s="16"/>
      <c r="H3" s="16"/>
      <c r="I3" s="16"/>
      <c r="K3" s="32"/>
    </row>
    <row r="4" spans="1:12" x14ac:dyDescent="0.25">
      <c r="B4" s="17" t="s">
        <v>39</v>
      </c>
      <c r="C4" s="16">
        <f>SUM('Teuer IS Pro Forma'!C4:C9)</f>
        <v>-111480.295</v>
      </c>
      <c r="D4" s="16"/>
      <c r="E4" s="16"/>
      <c r="F4" s="16"/>
      <c r="G4" s="16"/>
      <c r="H4" s="16"/>
      <c r="I4" s="16"/>
      <c r="L4" s="17"/>
    </row>
    <row r="5" spans="1:12" x14ac:dyDescent="0.25">
      <c r="B5" s="17" t="s">
        <v>40</v>
      </c>
      <c r="C5" s="13">
        <f>'Teuer IS Pro Forma'!C12</f>
        <v>-14695.042264812339</v>
      </c>
      <c r="D5" s="13"/>
      <c r="E5" s="13"/>
      <c r="F5" s="13"/>
      <c r="G5" s="13"/>
      <c r="H5" s="13"/>
      <c r="I5" s="13"/>
      <c r="L5" s="17"/>
    </row>
    <row r="6" spans="1:12" x14ac:dyDescent="0.25">
      <c r="B6" t="s">
        <v>18</v>
      </c>
      <c r="C6" s="8">
        <f>SUM(C3:C5)</f>
        <v>22042.562735187686</v>
      </c>
      <c r="D6" s="8"/>
      <c r="E6" s="8"/>
      <c r="F6" s="8"/>
      <c r="G6" s="8"/>
      <c r="H6" s="8"/>
      <c r="I6" s="8"/>
    </row>
    <row r="7" spans="1:12" x14ac:dyDescent="0.25">
      <c r="B7" s="17" t="s">
        <v>76</v>
      </c>
      <c r="C7" s="8">
        <f>-('Exh 6 Stores BS'!N4+'Exh 6 Stores BS'!N12+'Exh 6 Stores BS'!N20+'Exh 6 Stores BS'!N28+'Exh 6 Stores BS'!N36+'Exh 6 Stores BS'!N44+'Exh 6 Stores BS'!N52+'Exh 6 Stores BS'!N60+'Exh 6 Stores BS'!N68+'Exh 6 Stores BS'!N76+'Exh 6 Stores BS'!N84+'Exh 6 Stores BS'!N93+'Exh 6 Stores BS'!N102)</f>
        <v>-2228.6</v>
      </c>
      <c r="D7" s="8"/>
      <c r="E7" s="8"/>
      <c r="F7" s="8"/>
      <c r="G7" s="8"/>
      <c r="H7" s="8"/>
      <c r="I7" s="8"/>
      <c r="L7" s="17"/>
    </row>
    <row r="8" spans="1:12" x14ac:dyDescent="0.25">
      <c r="B8" s="17" t="s">
        <v>41</v>
      </c>
      <c r="C8" s="8">
        <f>('Exh 5 Stores IS'!N8+'Exh 5 Stores IS'!N16+'Exh 5 Stores IS'!N24+'Exh 5 Stores IS'!N32+'Exh 5 Stores IS'!N40+'Exh 5 Stores IS'!N48+'Exh 5 Stores IS'!N56+'Exh 5 Stores IS'!N64+'Exh 5 Stores IS'!N72+'Exh 5 Stores IS'!N80+'Exh 5 Stores IS'!N88+'Exh 5 Stores IS'!N96+'Exh 5 Stores IS'!N104)</f>
        <v>798.1</v>
      </c>
      <c r="D8" s="8"/>
      <c r="E8" s="8"/>
      <c r="F8" s="8"/>
      <c r="G8" s="8"/>
      <c r="H8" s="8"/>
      <c r="I8" s="8"/>
      <c r="L8" s="17"/>
    </row>
    <row r="9" spans="1:12" x14ac:dyDescent="0.25">
      <c r="B9" s="17" t="s">
        <v>42</v>
      </c>
      <c r="C9" s="13">
        <f>-(('Exh 3 Teuer BS'!L6-'Exh 3 Teuer BS'!L13)-('Exh 3 Teuer BS'!K6-'Exh 3 Teuer BS'!K13))</f>
        <v>-8364.7688927140989</v>
      </c>
      <c r="D9" s="13"/>
      <c r="E9" s="13"/>
      <c r="F9" s="13"/>
      <c r="G9" s="13"/>
      <c r="H9" s="13"/>
      <c r="I9" s="13"/>
      <c r="J9" s="11"/>
      <c r="L9" s="17"/>
    </row>
    <row r="10" spans="1:12" x14ac:dyDescent="0.25">
      <c r="B10" t="s">
        <v>95</v>
      </c>
      <c r="C10" s="8">
        <f>SUM(C6:C9)</f>
        <v>12247.293842473588</v>
      </c>
      <c r="D10" s="8"/>
      <c r="E10" s="8"/>
      <c r="F10" s="8"/>
      <c r="G10" s="8"/>
      <c r="H10" s="8"/>
      <c r="I10" s="8"/>
      <c r="J10" s="11"/>
    </row>
    <row r="11" spans="1:12" x14ac:dyDescent="0.25">
      <c r="B11" t="s">
        <v>96</v>
      </c>
      <c r="E11" s="16"/>
      <c r="F11" s="11"/>
      <c r="G11" s="11"/>
      <c r="H11" s="8"/>
      <c r="I11" s="8"/>
      <c r="J11" s="11"/>
    </row>
    <row r="12" spans="1:12" x14ac:dyDescent="0.25">
      <c r="C12" s="8"/>
      <c r="D12" s="8"/>
      <c r="E12" s="8"/>
      <c r="F12" s="8"/>
      <c r="G12" s="8"/>
      <c r="H12" s="8"/>
      <c r="I12" s="8"/>
    </row>
    <row r="13" spans="1:12" x14ac:dyDescent="0.25">
      <c r="B13" t="s">
        <v>97</v>
      </c>
      <c r="C13" s="8"/>
      <c r="E13" s="19"/>
      <c r="F13" s="8"/>
    </row>
    <row r="14" spans="1:12" x14ac:dyDescent="0.25">
      <c r="B14" t="s">
        <v>36</v>
      </c>
      <c r="C14" s="42"/>
      <c r="E14" s="19"/>
      <c r="F14" s="8"/>
    </row>
    <row r="16" spans="1:12" x14ac:dyDescent="0.25">
      <c r="A16" s="32" t="s">
        <v>6</v>
      </c>
    </row>
    <row r="17" spans="1:3" x14ac:dyDescent="0.25">
      <c r="A17" s="32"/>
      <c r="B17" t="s">
        <v>35</v>
      </c>
      <c r="C17" s="6">
        <f>'Exh 10 Forecast Parameters'!B14</f>
        <v>0.13699999999999998</v>
      </c>
    </row>
    <row r="18" spans="1:3" x14ac:dyDescent="0.25">
      <c r="A18" s="32"/>
      <c r="B18" t="s">
        <v>85</v>
      </c>
      <c r="C18" s="39">
        <f>'Exh 10 Forecast Parameters'!B15</f>
        <v>2.5000000000000001E-2</v>
      </c>
    </row>
    <row r="19" spans="1:3" x14ac:dyDescent="0.25">
      <c r="A19" s="32"/>
      <c r="B19" t="s">
        <v>37</v>
      </c>
      <c r="C19">
        <v>187</v>
      </c>
    </row>
    <row r="20" spans="1:3" x14ac:dyDescent="0.25">
      <c r="A20" s="32"/>
      <c r="B20" t="s">
        <v>38</v>
      </c>
      <c r="C20" s="8">
        <v>9945</v>
      </c>
    </row>
    <row r="21" spans="1:3" x14ac:dyDescent="0.25">
      <c r="A21" s="32"/>
    </row>
  </sheetData>
  <pageMargins left="0.7" right="0.7" top="0.75" bottom="0.75" header="0.3" footer="0.3"/>
  <pageSetup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Copyright</vt:lpstr>
      <vt:lpstr>Exh 1 Stores</vt:lpstr>
      <vt:lpstr>Exh 2 Teuer IS</vt:lpstr>
      <vt:lpstr>Exh 3 Teuer BS</vt:lpstr>
      <vt:lpstr>Exh 4 Econ Indicators</vt:lpstr>
      <vt:lpstr>Exh 5 Stores IS</vt:lpstr>
      <vt:lpstr>Exh 6 Stores BS</vt:lpstr>
      <vt:lpstr>Exh 7 Teuer CFA</vt:lpstr>
      <vt:lpstr>Exh 8 Sales Forecasting</vt:lpstr>
      <vt:lpstr>Exh 9 Capital Forecasting</vt:lpstr>
      <vt:lpstr>Exh 10 Forecast Parameters</vt:lpstr>
      <vt:lpstr>Teuer IS Pro Forma</vt:lpstr>
      <vt:lpstr>Teuer BS Pro Forma</vt:lpstr>
      <vt:lpstr>Teuer CFA - Pro Forma</vt:lpstr>
    </vt:vector>
  </TitlesOfParts>
  <Company>Kellogg School of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Petersen</dc:creator>
  <cp:lastModifiedBy>Mitchell Petersen</cp:lastModifiedBy>
  <cp:lastPrinted>2013-09-11T20:17:04Z</cp:lastPrinted>
  <dcterms:created xsi:type="dcterms:W3CDTF">2013-08-13T19:54:49Z</dcterms:created>
  <dcterms:modified xsi:type="dcterms:W3CDTF">2013-09-21T18:21:39Z</dcterms:modified>
</cp:coreProperties>
</file>