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9450" windowHeight="3660" activeTab="0"/>
  </bookViews>
  <sheets>
    <sheet name="Answers" sheetId="1" r:id="rId1"/>
    <sheet name="Option" sheetId="2" r:id="rId2"/>
    <sheet name="Correct Answers" sheetId="3" r:id="rId3"/>
    <sheet name="Score Distribution" sheetId="4" r:id="rId4"/>
    <sheet name="Psswrds" sheetId="5" state="veryHidden" r:id="rId5"/>
    <sheet name="Score" sheetId="6" r:id="rId6"/>
    <sheet name="Sheet1" sheetId="7" state="hidden" r:id="rId7"/>
  </sheets>
  <definedNames>
    <definedName name="found">'Psswrds'!$F$6</definedName>
    <definedName name="location">'Psswrds'!$F$4</definedName>
    <definedName name="mmm">'Answers'!$F$7</definedName>
    <definedName name="mu">'Answers'!$D$129</definedName>
    <definedName name="showrow">'Psswrds'!$F$7</definedName>
    <definedName name="sigma">'Answers'!$D$130</definedName>
    <definedName name="solver_adj" localSheetId="0" hidden="1">'Answers'!$H$59:$I$59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'Answers'!$J$59</definedName>
    <definedName name="solver_lhs2" localSheetId="0" hidden="1">'Answers'!$B$58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'Answers'!$B$57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hs1" localSheetId="0" hidden="1">100%</definedName>
    <definedName name="solver_rhs2" localSheetId="0" hidden="1">15%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">'Answers'!$F$8</definedName>
  </definedNames>
  <calcPr fullCalcOnLoad="1"/>
</workbook>
</file>

<file path=xl/sharedStrings.xml><?xml version="1.0" encoding="utf-8"?>
<sst xmlns="http://schemas.openxmlformats.org/spreadsheetml/2006/main" count="416" uniqueCount="393">
  <si>
    <t>total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</si>
  <si>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</si>
  <si>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</si>
  <si>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</si>
  <si>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</si>
  <si>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</si>
  <si>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</si>
  <si>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</si>
  <si>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</si>
  <si>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</si>
  <si>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</si>
  <si>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</si>
  <si>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</si>
  <si>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absent</t>
  </si>
  <si>
    <t>0 correct</t>
  </si>
  <si>
    <t>1 correct</t>
  </si>
  <si>
    <t>2 correct</t>
  </si>
  <si>
    <t>4 correct</t>
  </si>
  <si>
    <t>5 correct</t>
  </si>
  <si>
    <t>6 correct</t>
  </si>
  <si>
    <t>7 correct</t>
  </si>
  <si>
    <t>8 correct</t>
  </si>
  <si>
    <t>9 correct</t>
  </si>
  <si>
    <t>10 correct</t>
  </si>
  <si>
    <t>11 correct</t>
  </si>
  <si>
    <t>12 correct</t>
  </si>
  <si>
    <t>Mini-Quiz #4: Answers</t>
  </si>
  <si>
    <t>The circus is back in town!</t>
  </si>
  <si>
    <t>Bailey Barnum, the circus owner (and a grand-niece of P.T.), had planned to have two</t>
  </si>
  <si>
    <t>entrances set up on the north side of the circus grounds (near the main exit from the</t>
  </si>
  <si>
    <t>underground parking garage), and one on the south side. However, a city inspector</t>
  </si>
  <si>
    <t>ordered her to close one of the two northern entrances in order to simplify crowd control</t>
  </si>
  <si>
    <t>and security. She’d originally set up her staffing expecting the northeast entrance to</t>
  </si>
  <si>
    <t>standard deviation of 600). From past experience, she expected the numbers of patrons</t>
  </si>
  <si>
    <t>choose one entrance, that leaves fewer to go through the other). Now, she needs to staff</t>
  </si>
  <si>
    <t>a single northern entrance dealing with all the northern arrivals.</t>
  </si>
  <si>
    <t>What is the number of circus-goers expected to use the now-combined northern</t>
  </si>
  <si>
    <t>entrance?</t>
  </si>
  <si>
    <t>What is one standard-deviation’s-worth of uncertainty in the number who will use the</t>
  </si>
  <si>
    <t>Agilo the Juggler has $100,000 invested in his 401(K) retirement account. Currently,</t>
  </si>
  <si>
    <t>of the circus’ primary competitor (Cirque de la Lune). A recent analysts’ report has</t>
  </si>
  <si>
    <t>year, with one standard-deviation’s-worth of uncertainty in the prediction being 20%. The</t>
  </si>
  <si>
    <t>same report predicts a rate of return of only 10% for the shares in the competing circus,</t>
  </si>
  <si>
    <t>BB</t>
  </si>
  <si>
    <t>CdlL</t>
  </si>
  <si>
    <t>What is the expected rate of return on his portfolio?</t>
  </si>
  <si>
    <t>E{ROR]</t>
  </si>
  <si>
    <t>StDev(ROR)</t>
  </si>
  <si>
    <t>Assume (somewhat unrealistically) that returns on the two investments vary</t>
  </si>
  <si>
    <t>independently.</t>
  </si>
  <si>
    <t>What is one standard-deviation’s-worth of uncertainty in next year’s rate of return on his</t>
  </si>
  <si>
    <t>401(K)?</t>
  </si>
  <si>
    <t>Agilo wants to limit one standard-deviation’s-worth of uncertainty in his portfolio’s rate of</t>
  </si>
  <si>
    <t>investments), what’s the highest expected rate of return he can achieve, consistent with</t>
  </si>
  <si>
    <t>his risk-limitation goal?</t>
  </si>
  <si>
    <t>Solver setup</t>
  </si>
  <si>
    <t>allocation</t>
  </si>
  <si>
    <t>As the Christmas season approaches, you feel that consumer sentiment in your</t>
  </si>
  <si>
    <t>neighborhood is somewhat better than it is reported to be nationally, and you think this</t>
  </si>
  <si>
    <t>bodes well for regional retail sales. Indeed, you feel that shares in Webmart, a regional</t>
  </si>
  <si>
    <t>share price - currently $66/share - is likely to drift upwards. Specifically, you think that</t>
  </si>
  <si>
    <t>the share price will, each day, either drop $1 (a 20% chance), stay unchanged (a 45%</t>
  </si>
  <si>
    <t>chance), or move up by $1 (a 35% chance). (The day-to-day price changes will vary</t>
  </si>
  <si>
    <t>independently.)</t>
  </si>
  <si>
    <t>change</t>
  </si>
  <si>
    <t>Pr(change)</t>
  </si>
  <si>
    <t>What is the expected change in share price in the course of one day?</t>
  </si>
  <si>
    <t>What is one standard-deviation's-worth of uncertainty in the one-day price change?</t>
  </si>
  <si>
    <t>What is the expected stock price 20 days from now?</t>
  </si>
  <si>
    <t>What is one standard-deviation's-worth of uncertainty in the stock price 20 days from</t>
  </si>
  <si>
    <t>now?</t>
  </si>
  <si>
    <t>You don't have enough free capital to buy 100 shares in Webmart right now. However,</t>
  </si>
  <si>
    <t>the November $70 call option, which expires on the third Friday in November - exactly</t>
  </si>
  <si>
    <t>20 trading days from now - is selling for only a $0.50 premium.</t>
  </si>
  <si>
    <t>(This means that, for $50, you can purchase an option to buy 100 shares in Webmart at</t>
  </si>
  <si>
    <t>a price of $70 on the expiration day. On the day of expiration, if the share price is below</t>
  </si>
  <si>
    <t>$70, your option will be valueless (and you'll lose your $50). However, if the share price</t>
  </si>
  <si>
    <t>is above $70, you'll be able to exercise the option, and immediately sell the 100 shares</t>
  </si>
  <si>
    <t>at the market price. For example, if the share price is $73 twenty days from now, the</t>
  </si>
  <si>
    <t>option will net you 100⋅($73-$70) - $50 = $250 in profit. To keep things simple, we'll</t>
  </si>
  <si>
    <t>ignore commissions and taxes.)</t>
  </si>
  <si>
    <t>Using 50,000 simulation runs, estimate your expected profit from the purchase of a</t>
  </si>
  <si>
    <t>share price</t>
  </si>
  <si>
    <t>=RAND</t>
  </si>
  <si>
    <t>price change</t>
  </si>
  <si>
    <t>100-share November $70 call option.</t>
  </si>
  <si>
    <t>start</t>
  </si>
  <si>
    <t>1 day later</t>
  </si>
  <si>
    <t>profit from buying option</t>
  </si>
  <si>
    <t>2 days later</t>
  </si>
  <si>
    <t>3 days later</t>
  </si>
  <si>
    <t>monitored cell</t>
  </si>
  <si>
    <t>4 days later</t>
  </si>
  <si>
    <t>mean</t>
  </si>
  <si>
    <t>5 days later</t>
  </si>
  <si>
    <t>sample standard deviation</t>
  </si>
  <si>
    <t>6 days later</t>
  </si>
  <si>
    <t>minimum</t>
  </si>
  <si>
    <t>7 days later</t>
  </si>
  <si>
    <t>maximum</t>
  </si>
  <si>
    <t>8 days later</t>
  </si>
  <si>
    <t>number of simulation runs</t>
  </si>
  <si>
    <t>9 days later</t>
  </si>
  <si>
    <t>margin of error (95% confidence)</t>
  </si>
  <si>
    <t>10 days later</t>
  </si>
  <si>
    <t>11 days later</t>
  </si>
  <si>
    <t>12 days later</t>
  </si>
  <si>
    <t>13 days later</t>
  </si>
  <si>
    <t>E[profit from buying option]</t>
  </si>
  <si>
    <t>14 days later</t>
  </si>
  <si>
    <t>StDev(profit)</t>
  </si>
  <si>
    <t>15 days later</t>
  </si>
  <si>
    <t>16 days later</t>
  </si>
  <si>
    <t>17 days later</t>
  </si>
  <si>
    <t>18 days later</t>
  </si>
  <si>
    <t>19 days later</t>
  </si>
  <si>
    <t>20 days later</t>
  </si>
  <si>
    <t>Evaluating the Option Analytically</t>
  </si>
  <si>
    <t>If the share price goes up these many days</t>
  </si>
  <si>
    <t>then, of the remaining days</t>
  </si>
  <si>
    <t>to close at</t>
  </si>
  <si>
    <t>it must drop these many days</t>
  </si>
  <si>
    <t>The probability that the price rises on 12 of the 20 days is</t>
  </si>
  <si>
    <t>The probability that it drops on any one of the remaining 8 days (given that</t>
  </si>
  <si>
    <t>it doesn't rise on those days) is 0.20/(0.20+0.45) =</t>
  </si>
  <si>
    <t>The probability that it drops on precisely 6 of those 8 days is</t>
  </si>
  <si>
    <t>Therefore, the probability that it rises on 12 days AND drops on 6 days)</t>
  </si>
  <si>
    <t>= Pr(rises on 12 days)  Pr(drops on 6 days | rises on 12 days) =</t>
  </si>
  <si>
    <t>This is the basis for the table below.</t>
  </si>
  <si>
    <t>The probability distribution of profit (from buying the option) is therefore:</t>
  </si>
  <si>
    <t>closing price</t>
  </si>
  <si>
    <t>profit</t>
  </si>
  <si>
    <t>Pr(profit)</t>
  </si>
  <si>
    <r>
      <t>≤</t>
    </r>
    <r>
      <rPr>
        <sz val="10"/>
        <rFont val="Arial"/>
        <family val="0"/>
      </rPr>
      <t xml:space="preserve"> $70</t>
    </r>
  </si>
  <si>
    <r>
      <t>E[ 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+ 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 xml:space="preserve"> ] = E[X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] + E[X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]</t>
    </r>
  </si>
  <si>
    <r>
      <t>Var( 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+ 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 xml:space="preserve"> ) = Var(X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) + Var(X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) + 2∙Cov(X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)</t>
    </r>
  </si>
  <si>
    <r>
      <t>Cov(X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) = StDev(X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) ∙ StDev(X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) ∙ Corr(X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NW</t>
    </r>
    <r>
      <rPr>
        <sz val="10"/>
        <rFont val="Arial"/>
        <family val="0"/>
      </rPr>
      <t>)</t>
    </r>
  </si>
  <si>
    <r>
      <t>E[ ROR</t>
    </r>
    <r>
      <rPr>
        <vertAlign val="subscript"/>
        <sz val="10"/>
        <rFont val="Arial"/>
        <family val="2"/>
      </rPr>
      <t>portfolio</t>
    </r>
    <r>
      <rPr>
        <sz val="10"/>
        <rFont val="Arial"/>
        <family val="0"/>
      </rPr>
      <t xml:space="preserve"> ]</t>
    </r>
  </si>
  <si>
    <r>
      <t>StDev( ROR</t>
    </r>
    <r>
      <rPr>
        <vertAlign val="subscript"/>
        <sz val="10"/>
        <rFont val="Arial"/>
        <family val="2"/>
      </rPr>
      <t>portfolio</t>
    </r>
    <r>
      <rPr>
        <sz val="10"/>
        <rFont val="Arial"/>
        <family val="0"/>
      </rPr>
      <t xml:space="preserve"> )</t>
    </r>
  </si>
  <si>
    <t>another way</t>
  </si>
  <si>
    <t>cumulative</t>
  </si>
  <si>
    <t>with a standard deviation of 13%.</t>
  </si>
  <si>
    <t>Pr(option closes "in the money")</t>
  </si>
  <si>
    <t>Pr(option pays off)</t>
  </si>
  <si>
    <t>Excel has a MULTINOMIAL function which lets us do this directly.</t>
  </si>
  <si>
    <t>Here's an estimate of the probability that the option pays off,</t>
  </si>
  <si>
    <t>made using the Central Limit Theorem:</t>
  </si>
  <si>
    <t>And here's an estimate of the value of the option:</t>
  </si>
  <si>
    <t>E[closing price | closes above $70]</t>
  </si>
  <si>
    <t>This formula was copied from the Week-5 workbook "Adverse_selection_plus.xls."</t>
  </si>
  <si>
    <t>NetID</t>
  </si>
  <si>
    <t>Password</t>
  </si>
  <si>
    <t>Offset</t>
  </si>
  <si>
    <t>Index</t>
  </si>
  <si>
    <t>aak301</t>
  </si>
  <si>
    <t>m&amp;g7221</t>
  </si>
  <si>
    <t>act732</t>
  </si>
  <si>
    <t>yahoo</t>
  </si>
  <si>
    <t>aka876</t>
  </si>
  <si>
    <t>moscow80</t>
  </si>
  <si>
    <t>ald556</t>
  </si>
  <si>
    <t>sammi</t>
  </si>
  <si>
    <t>ama122</t>
  </si>
  <si>
    <t>brasil</t>
  </si>
  <si>
    <t>amg559</t>
  </si>
  <si>
    <t>gins27</t>
  </si>
  <si>
    <t>apa128</t>
  </si>
  <si>
    <t>ampamp</t>
  </si>
  <si>
    <t>asc739</t>
  </si>
  <si>
    <t>drewski</t>
  </si>
  <si>
    <t>aso733</t>
  </si>
  <si>
    <t>dankss</t>
  </si>
  <si>
    <t>asu551</t>
  </si>
  <si>
    <t>qwerty</t>
  </si>
  <si>
    <t>awi807</t>
  </si>
  <si>
    <t>codered</t>
  </si>
  <si>
    <t>bcn538</t>
  </si>
  <si>
    <t>bubba1</t>
  </si>
  <si>
    <t>bkh179</t>
  </si>
  <si>
    <t>sasi1arc</t>
  </si>
  <si>
    <t>bku272</t>
  </si>
  <si>
    <t>dragon</t>
  </si>
  <si>
    <t>bms394</t>
  </si>
  <si>
    <t>critt24er</t>
  </si>
  <si>
    <t>bsi656</t>
  </si>
  <si>
    <t>molde44</t>
  </si>
  <si>
    <t>cbe387</t>
  </si>
  <si>
    <t>salsa</t>
  </si>
  <si>
    <t>cme270</t>
  </si>
  <si>
    <t>plymouth</t>
  </si>
  <si>
    <t>cms077</t>
  </si>
  <si>
    <t>bubbawoo</t>
  </si>
  <si>
    <t>dar580</t>
  </si>
  <si>
    <t>jonna</t>
  </si>
  <si>
    <t>dda737</t>
  </si>
  <si>
    <t>travica</t>
  </si>
  <si>
    <t>dmu577</t>
  </si>
  <si>
    <t>perfect36</t>
  </si>
  <si>
    <t>dpp522</t>
  </si>
  <si>
    <t>minerva</t>
  </si>
  <si>
    <t>drs160</t>
  </si>
  <si>
    <t>tewligan</t>
  </si>
  <si>
    <t>dtk674</t>
  </si>
  <si>
    <t>joe22sph</t>
  </si>
  <si>
    <t>eer846</t>
  </si>
  <si>
    <t>tiffany</t>
  </si>
  <si>
    <t>gch518</t>
  </si>
  <si>
    <t>panda</t>
  </si>
  <si>
    <t>jap367</t>
  </si>
  <si>
    <t>cabernet</t>
  </si>
  <si>
    <t>jas731</t>
  </si>
  <si>
    <t>23ryan</t>
  </si>
  <si>
    <t>jay306</t>
  </si>
  <si>
    <t>mystic1k</t>
  </si>
  <si>
    <t>jbr582</t>
  </si>
  <si>
    <t>cosmo2</t>
  </si>
  <si>
    <t>jch308</t>
  </si>
  <si>
    <t>1234</t>
  </si>
  <si>
    <t>jdk714</t>
  </si>
  <si>
    <t>tarheels</t>
  </si>
  <si>
    <t>jdl593</t>
  </si>
  <si>
    <t>jdl409</t>
  </si>
  <si>
    <t>jem203</t>
  </si>
  <si>
    <t>hallie</t>
  </si>
  <si>
    <t>jgo328</t>
  </si>
  <si>
    <t>barlow1122</t>
  </si>
  <si>
    <t>jhi824</t>
  </si>
  <si>
    <t>kclass</t>
  </si>
  <si>
    <t>jjs743</t>
  </si>
  <si>
    <t>cervelo</t>
  </si>
  <si>
    <t>jlc521</t>
  </si>
  <si>
    <t>longhorns</t>
  </si>
  <si>
    <t>jle769</t>
  </si>
  <si>
    <t>focuss</t>
  </si>
  <si>
    <t>jlo188</t>
  </si>
  <si>
    <t>snoggy</t>
  </si>
  <si>
    <t>jmf513</t>
  </si>
  <si>
    <t>jodes</t>
  </si>
  <si>
    <t>jmi138</t>
  </si>
  <si>
    <t>315315</t>
  </si>
  <si>
    <t>jpa331</t>
  </si>
  <si>
    <t>bluegiraffe</t>
  </si>
  <si>
    <t>jps207</t>
  </si>
  <si>
    <t>notredame</t>
  </si>
  <si>
    <t>jro292</t>
  </si>
  <si>
    <t>fall08a</t>
  </si>
  <si>
    <t>jtg300</t>
  </si>
  <si>
    <t>football</t>
  </si>
  <si>
    <t>jva798</t>
  </si>
  <si>
    <t>panful</t>
  </si>
  <si>
    <t>kaz706</t>
  </si>
  <si>
    <t>oxford</t>
  </si>
  <si>
    <t>kbg568</t>
  </si>
  <si>
    <t>ilovestats</t>
  </si>
  <si>
    <t>klf832</t>
  </si>
  <si>
    <t>addison</t>
  </si>
  <si>
    <t>kmp719</t>
  </si>
  <si>
    <t>goose</t>
  </si>
  <si>
    <t>koc205</t>
  </si>
  <si>
    <t>donkey1</t>
  </si>
  <si>
    <t>kpf717</t>
  </si>
  <si>
    <t>cubs2008</t>
  </si>
  <si>
    <t>kpo366</t>
  </si>
  <si>
    <t>clare4me</t>
  </si>
  <si>
    <t>lbk579</t>
  </si>
  <si>
    <t>statsrule</t>
  </si>
  <si>
    <t>lbw733</t>
  </si>
  <si>
    <t>brooke</t>
  </si>
  <si>
    <t>lhb298</t>
  </si>
  <si>
    <t>random</t>
  </si>
  <si>
    <t>lhb578</t>
  </si>
  <si>
    <t>maine1</t>
  </si>
  <si>
    <t>lmh853</t>
  </si>
  <si>
    <t>lhamilt3</t>
  </si>
  <si>
    <t>mac197</t>
  </si>
  <si>
    <t>markcanty</t>
  </si>
  <si>
    <t>mbj299</t>
  </si>
  <si>
    <t>stephanie</t>
  </si>
  <si>
    <t>mcm305</t>
  </si>
  <si>
    <t>michael</t>
  </si>
  <si>
    <t>mdg121</t>
  </si>
  <si>
    <t>singapore</t>
  </si>
  <si>
    <t>met124</t>
  </si>
  <si>
    <t>cherry</t>
  </si>
  <si>
    <t>mjw368</t>
  </si>
  <si>
    <t>decs</t>
  </si>
  <si>
    <t>mpa529</t>
  </si>
  <si>
    <t>patilmh</t>
  </si>
  <si>
    <t>mpa724</t>
  </si>
  <si>
    <t>chocolate</t>
  </si>
  <si>
    <t>mpa885</t>
  </si>
  <si>
    <t>myhero</t>
  </si>
  <si>
    <t>nke725</t>
  </si>
  <si>
    <t>kellogg</t>
  </si>
  <si>
    <t>npa722</t>
  </si>
  <si>
    <t>gocubsgo</t>
  </si>
  <si>
    <t>pah273</t>
  </si>
  <si>
    <t>madmax</t>
  </si>
  <si>
    <t>pjs114</t>
  </si>
  <si>
    <t>klavieres</t>
  </si>
  <si>
    <t>pvc530</t>
  </si>
  <si>
    <t>magic11</t>
  </si>
  <si>
    <t>rka222</t>
  </si>
  <si>
    <t>@nai:shu</t>
  </si>
  <si>
    <t>rmb830</t>
  </si>
  <si>
    <t>ryan5683</t>
  </si>
  <si>
    <t>rtb831</t>
  </si>
  <si>
    <t>ava2008</t>
  </si>
  <si>
    <t>sba974</t>
  </si>
  <si>
    <t>sas@sas2</t>
  </si>
  <si>
    <t>sch715</t>
  </si>
  <si>
    <t>password1</t>
  </si>
  <si>
    <t>shc595</t>
  </si>
  <si>
    <t>wisconsin</t>
  </si>
  <si>
    <t>sja746</t>
  </si>
  <si>
    <t>boris</t>
  </si>
  <si>
    <t>sjs594</t>
  </si>
  <si>
    <t>sjs71579</t>
  </si>
  <si>
    <t>slw279</t>
  </si>
  <si>
    <t>tompetty</t>
  </si>
  <si>
    <t>sma724</t>
  </si>
  <si>
    <t>lyons66</t>
  </si>
  <si>
    <t>smb287</t>
  </si>
  <si>
    <t>joshua</t>
  </si>
  <si>
    <t>smg767</t>
  </si>
  <si>
    <t>ufgator1</t>
  </si>
  <si>
    <t>spb265</t>
  </si>
  <si>
    <t>breyer</t>
  </si>
  <si>
    <t>sth695</t>
  </si>
  <si>
    <t>sant5357</t>
  </si>
  <si>
    <t>tjl932</t>
  </si>
  <si>
    <t>ace44</t>
  </si>
  <si>
    <t>tjs591</t>
  </si>
  <si>
    <t>whistler</t>
  </si>
  <si>
    <t>tlh926</t>
  </si>
  <si>
    <t>calendula</t>
  </si>
  <si>
    <t>tmf442</t>
  </si>
  <si>
    <t>alphazeta</t>
  </si>
  <si>
    <t>tmf635</t>
  </si>
  <si>
    <t>b7lu7e</t>
  </si>
  <si>
    <t>wpc235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</si>
  <si>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</si>
  <si>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</si>
  <si>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</si>
  <si>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</si>
  <si>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</si>
  <si>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</si>
  <si>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</si>
  <si>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</si>
  <si>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</si>
  <si>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</si>
  <si>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</si>
  <si>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Ans.6</t>
  </si>
  <si>
    <t>Ans.7</t>
  </si>
  <si>
    <t>Ans.8</t>
  </si>
  <si>
    <t>Sc.1</t>
  </si>
  <si>
    <t>Sc.2</t>
  </si>
  <si>
    <t>Sc.3</t>
  </si>
  <si>
    <t>Sc.4</t>
  </si>
  <si>
    <t>Sc.5</t>
  </si>
  <si>
    <t>Sc.6</t>
  </si>
  <si>
    <t>Sc.7</t>
  </si>
  <si>
    <t>Sc.8</t>
  </si>
  <si>
    <t xml:space="preserve"> </t>
  </si>
  <si>
    <t>Ans.9</t>
  </si>
  <si>
    <t>Ans.10</t>
  </si>
  <si>
    <t>Sc.9</t>
  </si>
  <si>
    <t>Sc.10</t>
  </si>
  <si>
    <t>jda422</t>
  </si>
  <si>
    <t>d3jdwcs</t>
  </si>
  <si>
    <t>rms925</t>
  </si>
  <si>
    <t>lasagna</t>
  </si>
  <si>
    <t>wjo838</t>
  </si>
  <si>
    <t>b1illy</t>
  </si>
  <si>
    <t>Since only full-dollar amounts were possible in the problem, and the option is valueless</t>
  </si>
  <si>
    <t>at closing prices of $70 or less while having positive value at closing prices of $71 or</t>
  </si>
  <si>
    <t>more, I set my "dividing line" in the normal approximation at $70.5.</t>
  </si>
  <si>
    <t>These are the precise values, derived (painfully) on the next page:</t>
  </si>
  <si>
    <t>predicted that the rate of return on shares in Bailey’s circus will be 16% over the next</t>
  </si>
  <si>
    <t>process 7,000 circus-goers (with one standard-deviation's-worth of uncertainty in her</t>
  </si>
  <si>
    <t>forecast being 850), and expecting the northwest entrance to process 5,000 (with a</t>
  </si>
  <si>
    <t>return to 15%. By rebalancing his portfolio (i.e., by shifting money between the two</t>
  </si>
  <si>
    <t>$55,000 is in shares of Bailey’s circus, and (to spread his risk a bit) $45,000 in shares</t>
  </si>
  <si>
    <t>northern entrance?</t>
  </si>
  <si>
    <t>Since there are only two stocks in his portfolio, there's</t>
  </si>
  <si>
    <t>15%, and that's what Solver finds:</t>
  </si>
  <si>
    <t>Don't worry about this below-the-line material. It's only here to illustrate some advanced (non-required) material.</t>
  </si>
  <si>
    <t>retail chain, are slightly undervalued. Over the next 20 trading days, you believe that the</t>
  </si>
  <si>
    <t>3 correct</t>
  </si>
  <si>
    <t>actually only one mix that yields a standard deviation of</t>
  </si>
  <si>
    <t>passing through the two northern entrances to have a correlation of -0.35 (if more people</t>
  </si>
  <si>
    <t>`1</t>
  </si>
  <si>
    <t xml:space="preserve"> 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</si>
</sst>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000%"/>
    <numFmt numFmtId="171" formatCode="0.0000"/>
    <numFmt numFmtId="172" formatCode="0.000000000000000%"/>
    <numFmt numFmtId="173" formatCode="#,##0.0"/>
    <numFmt numFmtId="174" formatCode="0.0%"/>
    <numFmt numFmtId="175" formatCode="0.000000"/>
    <numFmt numFmtId="176" formatCode="0.0"/>
  </numFmts>
  <fonts count="57">
    <font>
      <sz val="10"/>
      <name val="Arial"/>
      <family val="0"/>
    </font>
    <font>
      <sz val="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indent="1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4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0" fontId="6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3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7" fillId="0" borderId="18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170" fontId="7" fillId="0" borderId="0" xfId="0" applyNumberFormat="1" applyFont="1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168" fontId="0" fillId="0" borderId="11" xfId="0" applyNumberFormat="1" applyBorder="1" applyAlignment="1">
      <alignment horizontal="right" indent="1"/>
    </xf>
    <xf numFmtId="170" fontId="0" fillId="0" borderId="12" xfId="0" applyNumberFormat="1" applyBorder="1" applyAlignment="1">
      <alignment/>
    </xf>
    <xf numFmtId="6" fontId="0" fillId="0" borderId="16" xfId="0" applyNumberFormat="1" applyBorder="1" applyAlignment="1">
      <alignment horizontal="center"/>
    </xf>
    <xf numFmtId="168" fontId="0" fillId="0" borderId="23" xfId="0" applyNumberFormat="1" applyBorder="1" applyAlignment="1">
      <alignment horizontal="right" indent="1"/>
    </xf>
    <xf numFmtId="170" fontId="0" fillId="0" borderId="24" xfId="0" applyNumberFormat="1" applyBorder="1" applyAlignment="1">
      <alignment/>
    </xf>
    <xf numFmtId="6" fontId="0" fillId="0" borderId="17" xfId="0" applyNumberFormat="1" applyBorder="1" applyAlignment="1">
      <alignment horizontal="center"/>
    </xf>
    <xf numFmtId="168" fontId="0" fillId="0" borderId="13" xfId="0" applyNumberFormat="1" applyBorder="1" applyAlignment="1">
      <alignment horizontal="right" indent="1"/>
    </xf>
    <xf numFmtId="170" fontId="0" fillId="0" borderId="1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9" fontId="7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68" fontId="0" fillId="0" borderId="29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9" fontId="0" fillId="0" borderId="15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indent="1"/>
    </xf>
    <xf numFmtId="6" fontId="0" fillId="0" borderId="33" xfId="0" applyNumberFormat="1" applyBorder="1" applyAlignment="1">
      <alignment horizontal="center"/>
    </xf>
    <xf numFmtId="0" fontId="0" fillId="0" borderId="0" xfId="0" applyBorder="1" applyAlignment="1">
      <alignment horizontal="right" indent="1"/>
    </xf>
    <xf numFmtId="168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2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1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34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9" fontId="0" fillId="0" borderId="39" xfId="0" applyNumberFormat="1" applyBorder="1" applyAlignment="1">
      <alignment horizontal="center"/>
    </xf>
    <xf numFmtId="6" fontId="0" fillId="0" borderId="34" xfId="0" applyNumberFormat="1" applyBorder="1" applyAlignment="1">
      <alignment horizontal="center"/>
    </xf>
    <xf numFmtId="6" fontId="0" fillId="0" borderId="36" xfId="0" applyNumberFormat="1" applyBorder="1" applyAlignment="1">
      <alignment horizontal="center"/>
    </xf>
    <xf numFmtId="6" fontId="0" fillId="0" borderId="38" xfId="0" applyNumberFormat="1" applyBorder="1" applyAlignment="1">
      <alignment horizontal="center"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/>
    </xf>
    <xf numFmtId="175" fontId="0" fillId="0" borderId="0" xfId="0" applyNumberForma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 horizontal="right"/>
    </xf>
    <xf numFmtId="169" fontId="4" fillId="0" borderId="25" xfId="0" applyNumberFormat="1" applyFont="1" applyBorder="1" applyAlignment="1">
      <alignment/>
    </xf>
    <xf numFmtId="0" fontId="0" fillId="0" borderId="25" xfId="0" applyBorder="1" applyAlignment="1">
      <alignment horizontal="left" indent="1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0" xfId="0" applyNumberFormat="1" applyAlignment="1">
      <alignment horizontal="left" inden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indent="1"/>
    </xf>
    <xf numFmtId="168" fontId="0" fillId="32" borderId="0" xfId="0" applyNumberFormat="1" applyFont="1" applyFill="1" applyBorder="1" applyAlignment="1">
      <alignment horizontal="center"/>
    </xf>
    <xf numFmtId="171" fontId="0" fillId="32" borderId="0" xfId="0" applyNumberFormat="1" applyFill="1" applyBorder="1" applyAlignment="1">
      <alignment horizontal="center"/>
    </xf>
    <xf numFmtId="6" fontId="0" fillId="32" borderId="0" xfId="0" applyNumberFormat="1" applyFill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025"/>
          <c:w val="0.977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Sheet1!$D$4:$M$4</c:f>
              <c:numCache>
                <c:ptCount val="10"/>
                <c:pt idx="0">
                  <c:v>0.8823529411764706</c:v>
                </c:pt>
                <c:pt idx="1">
                  <c:v>0.7058823529411765</c:v>
                </c:pt>
                <c:pt idx="2">
                  <c:v>1</c:v>
                </c:pt>
                <c:pt idx="3">
                  <c:v>1</c:v>
                </c:pt>
                <c:pt idx="4">
                  <c:v>0.8627450980392157</c:v>
                </c:pt>
                <c:pt idx="5">
                  <c:v>0.9803921568627451</c:v>
                </c:pt>
                <c:pt idx="6">
                  <c:v>0.8235294117647058</c:v>
                </c:pt>
                <c:pt idx="7">
                  <c:v>0.9607843137254902</c:v>
                </c:pt>
                <c:pt idx="8">
                  <c:v>0.7058823529411765</c:v>
                </c:pt>
                <c:pt idx="9">
                  <c:v>0.47058823529411764</c:v>
                </c:pt>
              </c:numCache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1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9"/>
          <c:h val="0.9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Sheet1!$E$7</c:f>
              <c:strCache>
                <c:ptCount val="1"/>
                <c:pt idx="0">
                  <c:v>2 correct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Sheet1!$F$7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 correct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Sheet1!$F$10</c:f>
              <c:numCache>
                <c:ptCount val="1"/>
                <c:pt idx="0">
                  <c:v>0.0196078431372549</c:v>
                </c:pt>
              </c:numCache>
            </c:numRef>
          </c:val>
        </c:ser>
        <c:ser>
          <c:idx val="4"/>
          <c:order val="2"/>
          <c:tx>
            <c:strRef>
              <c:f>Sheet1!$G$7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Sheet1!$G$10</c:f>
              <c:numCache>
                <c:ptCount val="1"/>
                <c:pt idx="0">
                  <c:v>0.0196078431372549</c:v>
                </c:pt>
              </c:numCache>
            </c:numRef>
          </c:val>
        </c:ser>
        <c:ser>
          <c:idx val="5"/>
          <c:order val="3"/>
          <c:tx>
            <c:strRef>
              <c:f>Sheet1!$H$7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Sheet1!$H$10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tx>
            <c:strRef>
              <c:f>Sheet1!$I$7</c:f>
              <c:strCache>
                <c:ptCount val="1"/>
                <c:pt idx="0">
                  <c:v>6 correct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Sheet1!$I$10</c:f>
              <c:numCache>
                <c:ptCount val="1"/>
                <c:pt idx="0">
                  <c:v>0.11764705882352941</c:v>
                </c:pt>
              </c:numCache>
            </c:numRef>
          </c:val>
        </c:ser>
        <c:ser>
          <c:idx val="7"/>
          <c:order val="5"/>
          <c:tx>
            <c:strRef>
              <c:f>Sheet1!$J$7</c:f>
              <c:strCache>
                <c:ptCount val="1"/>
                <c:pt idx="0">
                  <c:v>7 correct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Sheet1!$J$10</c:f>
              <c:numCache>
                <c:ptCount val="1"/>
                <c:pt idx="0">
                  <c:v>0.0784313725490196</c:v>
                </c:pt>
              </c:numCache>
            </c:numRef>
          </c:val>
        </c:ser>
        <c:ser>
          <c:idx val="8"/>
          <c:order val="6"/>
          <c:tx>
            <c:strRef>
              <c:f>Sheet1!$K$7</c:f>
              <c:strCache>
                <c:ptCount val="1"/>
                <c:pt idx="0">
                  <c:v>8 correct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Sheet1!$K$10</c:f>
              <c:numCache>
                <c:ptCount val="1"/>
                <c:pt idx="0">
                  <c:v>0.17647058823529413</c:v>
                </c:pt>
              </c:numCache>
            </c:numRef>
          </c:val>
        </c:ser>
        <c:ser>
          <c:idx val="9"/>
          <c:order val="7"/>
          <c:tx>
            <c:strRef>
              <c:f>Sheet1!$L$7</c:f>
              <c:strCache>
                <c:ptCount val="1"/>
                <c:pt idx="0">
                  <c:v>9 correct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Sheet1!$L$10</c:f>
              <c:numCache>
                <c:ptCount val="1"/>
                <c:pt idx="0">
                  <c:v>0.29411764705882354</c:v>
                </c:pt>
              </c:numCache>
            </c:numRef>
          </c:val>
        </c:ser>
        <c:ser>
          <c:idx val="10"/>
          <c:order val="8"/>
          <c:tx>
            <c:strRef>
              <c:f>Sheet1!$M$7</c:f>
              <c:strCache>
                <c:ptCount val="1"/>
                <c:pt idx="0">
                  <c:v>10 correct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Sheet1!$B$8</c:f>
              <c:numCache>
                <c:ptCount val="1"/>
              </c:numCache>
            </c:numRef>
          </c:cat>
          <c:val>
            <c:numRef>
              <c:f>Sheet1!$M$10</c:f>
              <c:numCache>
                <c:ptCount val="1"/>
                <c:pt idx="0">
                  <c:v>0.29411764705882354</c:v>
                </c:pt>
              </c:numCache>
            </c:numRef>
          </c:val>
        </c:ser>
        <c:overlap val="100"/>
        <c:gapWidth val="20"/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101</xdr:row>
      <xdr:rowOff>85725</xdr:rowOff>
    </xdr:from>
    <xdr:to>
      <xdr:col>11</xdr:col>
      <xdr:colOff>180975</xdr:colOff>
      <xdr:row>102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5915025" y="16783050"/>
          <a:ext cx="895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120</xdr:row>
      <xdr:rowOff>95250</xdr:rowOff>
    </xdr:from>
    <xdr:to>
      <xdr:col>11</xdr:col>
      <xdr:colOff>190500</xdr:colOff>
      <xdr:row>121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924550" y="19888200"/>
          <a:ext cx="895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101</xdr:row>
      <xdr:rowOff>76200</xdr:rowOff>
    </xdr:from>
    <xdr:to>
      <xdr:col>14</xdr:col>
      <xdr:colOff>104775</xdr:colOff>
      <xdr:row>101</xdr:row>
      <xdr:rowOff>76200</xdr:rowOff>
    </xdr:to>
    <xdr:sp>
      <xdr:nvSpPr>
        <xdr:cNvPr id="3" name="Line 7"/>
        <xdr:cNvSpPr>
          <a:spLocks/>
        </xdr:cNvSpPr>
      </xdr:nvSpPr>
      <xdr:spPr>
        <a:xfrm flipH="1">
          <a:off x="7115175" y="167735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101</xdr:row>
      <xdr:rowOff>133350</xdr:rowOff>
    </xdr:from>
    <xdr:to>
      <xdr:col>14</xdr:col>
      <xdr:colOff>95250</xdr:colOff>
      <xdr:row>102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7667625" y="16830675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101</xdr:row>
      <xdr:rowOff>123825</xdr:rowOff>
    </xdr:from>
    <xdr:to>
      <xdr:col>14</xdr:col>
      <xdr:colOff>95250</xdr:colOff>
      <xdr:row>103</xdr:row>
      <xdr:rowOff>85725</xdr:rowOff>
    </xdr:to>
    <xdr:sp>
      <xdr:nvSpPr>
        <xdr:cNvPr id="5" name="Line 10"/>
        <xdr:cNvSpPr>
          <a:spLocks/>
        </xdr:cNvSpPr>
      </xdr:nvSpPr>
      <xdr:spPr>
        <a:xfrm flipH="1" flipV="1">
          <a:off x="8267700" y="16821150"/>
          <a:ext cx="28575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77</xdr:row>
      <xdr:rowOff>123825</xdr:rowOff>
    </xdr:from>
    <xdr:to>
      <xdr:col>16</xdr:col>
      <xdr:colOff>152400</xdr:colOff>
      <xdr:row>89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5286375" y="12896850"/>
          <a:ext cx="45434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Discussion: We wouldn't be "surprised" to see the price close as low 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$65.75, or as high as $72.25. In the first case, we lose money ($50), and in the second case we make money.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certainly can't evaluate the option by just noting that we "expect"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to close at $69, below the strike price of the option. In the expected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world, the option has no value, but on average, across all possible worlds, the option ends up being a good investment. (A 70%+ expected profit over 20 trading days isn't at all shabby!)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as in the overbooking problem, we see that the optimal decision in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"expected" world is NOT the decision which maximizes our expected profit.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need to keep the uncertainty alive in order to find the best decision.
</a:t>
          </a:r>
        </a:p>
      </xdr:txBody>
    </xdr:sp>
    <xdr:clientData/>
  </xdr:twoCellAnchor>
  <xdr:twoCellAnchor>
    <xdr:from>
      <xdr:col>11</xdr:col>
      <xdr:colOff>276225</xdr:colOff>
      <xdr:row>136</xdr:row>
      <xdr:rowOff>38100</xdr:rowOff>
    </xdr:from>
    <xdr:to>
      <xdr:col>11</xdr:col>
      <xdr:colOff>276225</xdr:colOff>
      <xdr:row>137</xdr:row>
      <xdr:rowOff>85725</xdr:rowOff>
    </xdr:to>
    <xdr:sp>
      <xdr:nvSpPr>
        <xdr:cNvPr id="7" name="Line 19"/>
        <xdr:cNvSpPr>
          <a:spLocks/>
        </xdr:cNvSpPr>
      </xdr:nvSpPr>
      <xdr:spPr>
        <a:xfrm flipV="1">
          <a:off x="6905625" y="22450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104775</xdr:rowOff>
    </xdr:from>
    <xdr:to>
      <xdr:col>10</xdr:col>
      <xdr:colOff>133350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714375" y="1466850"/>
          <a:ext cx="511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6</xdr:row>
      <xdr:rowOff>19050</xdr:rowOff>
    </xdr:from>
    <xdr:to>
      <xdr:col>2</xdr:col>
      <xdr:colOff>190500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600075" y="1047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142875</xdr:rowOff>
    </xdr:from>
    <xdr:to>
      <xdr:col>10</xdr:col>
      <xdr:colOff>133350</xdr:colOff>
      <xdr:row>5</xdr:row>
      <xdr:rowOff>47625</xdr:rowOff>
    </xdr:to>
    <xdr:sp>
      <xdr:nvSpPr>
        <xdr:cNvPr id="3" name="Line 3"/>
        <xdr:cNvSpPr>
          <a:spLocks/>
        </xdr:cNvSpPr>
      </xdr:nvSpPr>
      <xdr:spPr>
        <a:xfrm>
          <a:off x="4695825" y="504825"/>
          <a:ext cx="1133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152400</xdr:rowOff>
    </xdr:from>
    <xdr:to>
      <xdr:col>10</xdr:col>
      <xdr:colOff>114300</xdr:colOff>
      <xdr:row>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362450" y="676275"/>
          <a:ext cx="1447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19050</xdr:rowOff>
    </xdr:from>
    <xdr:to>
      <xdr:col>10</xdr:col>
      <xdr:colOff>142875</xdr:colOff>
      <xdr:row>37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352925" y="4305300"/>
          <a:ext cx="14859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34</xdr:row>
      <xdr:rowOff>47625</xdr:rowOff>
    </xdr:from>
    <xdr:to>
      <xdr:col>9</xdr:col>
      <xdr:colOff>600075</xdr:colOff>
      <xdr:row>39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4343400" y="5629275"/>
          <a:ext cx="1343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3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10.140625" style="0" bestFit="1" customWidth="1"/>
    <col min="3" max="3" width="11.00390625" style="0" customWidth="1"/>
    <col min="4" max="4" width="12.421875" style="0" bestFit="1" customWidth="1"/>
    <col min="10" max="10" width="9.28125" style="0" bestFit="1" customWidth="1"/>
  </cols>
  <sheetData>
    <row r="1" spans="2:8" ht="15.75">
      <c r="B1" s="165" t="s">
        <v>26</v>
      </c>
      <c r="C1" s="165"/>
      <c r="D1" s="165"/>
      <c r="E1" s="165"/>
      <c r="F1" s="165"/>
      <c r="G1" s="165"/>
      <c r="H1" s="165"/>
    </row>
    <row r="3" ht="12.75">
      <c r="B3" s="7" t="s">
        <v>27</v>
      </c>
    </row>
    <row r="4" ht="12.75">
      <c r="B4" s="7"/>
    </row>
    <row r="5" ht="12.75">
      <c r="B5" s="7" t="s">
        <v>28</v>
      </c>
    </row>
    <row r="6" ht="12.75">
      <c r="B6" s="7" t="s">
        <v>29</v>
      </c>
    </row>
    <row r="7" ht="12.75">
      <c r="B7" s="7" t="s">
        <v>30</v>
      </c>
    </row>
    <row r="8" ht="12.75">
      <c r="B8" s="7" t="s">
        <v>31</v>
      </c>
    </row>
    <row r="9" ht="12.75">
      <c r="B9" s="7" t="s">
        <v>32</v>
      </c>
    </row>
    <row r="10" ht="12.75">
      <c r="B10" s="7" t="s">
        <v>379</v>
      </c>
    </row>
    <row r="11" ht="12.75">
      <c r="B11" s="7" t="s">
        <v>380</v>
      </c>
    </row>
    <row r="12" ht="12.75">
      <c r="B12" s="7" t="s">
        <v>33</v>
      </c>
    </row>
    <row r="13" ht="12.75">
      <c r="B13" s="7" t="s">
        <v>390</v>
      </c>
    </row>
    <row r="14" ht="12.75">
      <c r="B14" s="7" t="s">
        <v>34</v>
      </c>
    </row>
    <row r="15" ht="12.75">
      <c r="B15" s="7" t="s">
        <v>35</v>
      </c>
    </row>
    <row r="16" ht="12.75">
      <c r="B16" s="7"/>
    </row>
    <row r="17" ht="12.75">
      <c r="B17" s="7" t="s">
        <v>36</v>
      </c>
    </row>
    <row r="18" ht="12.75">
      <c r="B18" s="7" t="s">
        <v>37</v>
      </c>
    </row>
    <row r="19" ht="12.75">
      <c r="B19" s="7"/>
    </row>
    <row r="20" spans="2:3" ht="12.75">
      <c r="B20" s="8">
        <f>7000+5000</f>
        <v>12000</v>
      </c>
      <c r="C20" s="9" t="str">
        <f>showformula(B20)</f>
        <v>=7000+5000</v>
      </c>
    </row>
    <row r="21" ht="15.75">
      <c r="C21" s="9" t="s">
        <v>134</v>
      </c>
    </row>
    <row r="22" ht="12.75">
      <c r="C22" s="9"/>
    </row>
    <row r="23" spans="2:3" ht="12.75">
      <c r="B23" s="7" t="s">
        <v>38</v>
      </c>
      <c r="C23" s="9"/>
    </row>
    <row r="24" spans="2:3" ht="12.75">
      <c r="B24" s="7" t="s">
        <v>383</v>
      </c>
      <c r="C24" s="9"/>
    </row>
    <row r="25" ht="12.75">
      <c r="C25" s="9"/>
    </row>
    <row r="26" spans="2:3" ht="12.75">
      <c r="B26" s="10">
        <f>SQRT(850^2+600^2+2*850*600*(-0.35))</f>
        <v>851.7628778010932</v>
      </c>
      <c r="C26" s="9" t="str">
        <f>showformula(B26)</f>
        <v>=SQRT(850^2+600^2+2*850*600*(-0.35))</v>
      </c>
    </row>
    <row r="27" ht="15.75">
      <c r="C27" s="9" t="s">
        <v>135</v>
      </c>
    </row>
    <row r="28" ht="15.75">
      <c r="C28" s="9" t="s">
        <v>136</v>
      </c>
    </row>
    <row r="29" spans="2:9" ht="12.75">
      <c r="B29" s="11"/>
      <c r="C29" s="11">
        <f>showformula(B29)</f>
      </c>
      <c r="D29" s="11"/>
      <c r="E29" s="11"/>
      <c r="F29" s="11"/>
      <c r="G29" s="11"/>
      <c r="H29" s="11"/>
      <c r="I29" s="11"/>
    </row>
    <row r="31" ht="12.75">
      <c r="B31" s="7" t="s">
        <v>39</v>
      </c>
    </row>
    <row r="32" ht="12.75">
      <c r="B32" s="7" t="s">
        <v>382</v>
      </c>
    </row>
    <row r="33" ht="12.75">
      <c r="B33" s="7" t="s">
        <v>40</v>
      </c>
    </row>
    <row r="34" ht="12.75">
      <c r="B34" s="7" t="s">
        <v>378</v>
      </c>
    </row>
    <row r="35" ht="12.75">
      <c r="B35" s="7" t="s">
        <v>41</v>
      </c>
    </row>
    <row r="36" ht="12.75">
      <c r="B36" s="7" t="s">
        <v>42</v>
      </c>
    </row>
    <row r="37" ht="12.75">
      <c r="B37" s="7" t="s">
        <v>141</v>
      </c>
    </row>
    <row r="38" spans="2:9" ht="13.5" thickBot="1">
      <c r="B38" s="7"/>
      <c r="H38" s="1" t="s">
        <v>43</v>
      </c>
      <c r="I38" s="1" t="s">
        <v>44</v>
      </c>
    </row>
    <row r="39" spans="2:9" ht="12.75">
      <c r="B39" s="7" t="s">
        <v>45</v>
      </c>
      <c r="G39" s="12" t="s">
        <v>46</v>
      </c>
      <c r="H39" s="13">
        <v>0.16</v>
      </c>
      <c r="I39" s="14">
        <v>0.1</v>
      </c>
    </row>
    <row r="40" spans="2:9" ht="13.5" thickBot="1">
      <c r="B40" s="7"/>
      <c r="G40" s="12" t="s">
        <v>47</v>
      </c>
      <c r="H40" s="15">
        <v>0.2</v>
      </c>
      <c r="I40" s="16">
        <v>0.13</v>
      </c>
    </row>
    <row r="41" spans="2:9" ht="12.75">
      <c r="B41" s="17">
        <f>SUMPRODUCT(H39:I39,H41:I41)/SUM(H41:I41)</f>
        <v>0.133</v>
      </c>
      <c r="C41" t="str">
        <f>showformula(B41)</f>
        <v>=SUMPRODUCT(H39:I39,H41:I41)/SUM(H41:I41)</v>
      </c>
      <c r="H41" s="18">
        <v>55000</v>
      </c>
      <c r="I41" s="18">
        <v>45000</v>
      </c>
    </row>
    <row r="42" ht="12.75">
      <c r="B42" s="7"/>
    </row>
    <row r="43" ht="12.75">
      <c r="B43" s="7" t="s">
        <v>48</v>
      </c>
    </row>
    <row r="44" ht="12.75">
      <c r="B44" s="7" t="s">
        <v>49</v>
      </c>
    </row>
    <row r="45" ht="12.75">
      <c r="B45" s="7"/>
    </row>
    <row r="46" ht="12.75">
      <c r="B46" s="7" t="s">
        <v>50</v>
      </c>
    </row>
    <row r="47" ht="12.75">
      <c r="B47" s="7" t="s">
        <v>51</v>
      </c>
    </row>
    <row r="48" ht="12.75">
      <c r="B48" s="7"/>
    </row>
    <row r="49" spans="2:3" ht="12.75">
      <c r="B49" s="17">
        <f>SQRT(SUMPRODUCT(H41:I41^2,H40:I40^2))/SUM(H41:I41)</f>
        <v>0.12458832208517781</v>
      </c>
      <c r="C49" t="str">
        <f>showformula(B49)</f>
        <v>=SQRT(SUMPRODUCT(H41:I41^2,H40:I40^2))/SUM(H41:I41)</v>
      </c>
    </row>
    <row r="50" ht="12.75">
      <c r="B50" s="7"/>
    </row>
    <row r="51" ht="12.75">
      <c r="B51" s="7"/>
    </row>
    <row r="52" spans="2:10" ht="12.75">
      <c r="B52" s="7" t="s">
        <v>52</v>
      </c>
      <c r="J52" t="s">
        <v>384</v>
      </c>
    </row>
    <row r="53" spans="2:10" ht="12.75">
      <c r="B53" s="7" t="s">
        <v>381</v>
      </c>
      <c r="J53" t="s">
        <v>389</v>
      </c>
    </row>
    <row r="54" spans="2:10" ht="12.75">
      <c r="B54" s="7" t="s">
        <v>53</v>
      </c>
      <c r="J54" t="s">
        <v>385</v>
      </c>
    </row>
    <row r="55" spans="2:14" ht="13.5" thickBot="1">
      <c r="B55" s="7" t="s">
        <v>54</v>
      </c>
      <c r="N55" s="1" t="s">
        <v>55</v>
      </c>
    </row>
    <row r="56" spans="8:14" ht="13.5" thickBot="1">
      <c r="H56" s="1" t="s">
        <v>43</v>
      </c>
      <c r="I56" s="1" t="s">
        <v>44</v>
      </c>
      <c r="N56" s="19">
        <f>MAX($B$57)</f>
        <v>0.1437413081968822</v>
      </c>
    </row>
    <row r="57" spans="2:14" ht="15.75">
      <c r="B57" s="17">
        <f>SUMPRODUCT(H59:I59,H57:I57)</f>
        <v>0.1437413081968822</v>
      </c>
      <c r="C57" t="s">
        <v>137</v>
      </c>
      <c r="G57" s="12" t="s">
        <v>46</v>
      </c>
      <c r="H57" s="13">
        <v>0.16</v>
      </c>
      <c r="I57" s="14">
        <v>0.1</v>
      </c>
      <c r="N57" s="20">
        <f>COUNT($H$59:$I$59)</f>
        <v>2</v>
      </c>
    </row>
    <row r="58" spans="2:14" ht="16.5" thickBot="1">
      <c r="B58" s="21">
        <f>SQRT(SUMPRODUCT(H59:I59^2,H58:I58^2))</f>
        <v>0.14999954926839645</v>
      </c>
      <c r="C58" t="s">
        <v>138</v>
      </c>
      <c r="G58" s="12" t="s">
        <v>47</v>
      </c>
      <c r="H58" s="15">
        <v>0.2</v>
      </c>
      <c r="I58" s="16">
        <v>0.13</v>
      </c>
      <c r="N58" s="20" t="b">
        <f>$J$59=100%</f>
        <v>1</v>
      </c>
    </row>
    <row r="59" spans="7:14" ht="12.75">
      <c r="G59" s="12" t="s">
        <v>56</v>
      </c>
      <c r="H59" s="96">
        <v>0.7290218032813697</v>
      </c>
      <c r="I59" s="96">
        <v>0.2709781967186304</v>
      </c>
      <c r="J59" s="22">
        <f>SUM(H59:I59)</f>
        <v>1</v>
      </c>
      <c r="N59" s="20" t="b">
        <f>$B$58&lt;=15%</f>
        <v>1</v>
      </c>
    </row>
    <row r="60" spans="2:14" ht="13.5" thickBot="1">
      <c r="B60" s="11"/>
      <c r="C60" s="11"/>
      <c r="D60" s="11"/>
      <c r="E60" s="11"/>
      <c r="F60" s="11"/>
      <c r="G60" s="11"/>
      <c r="H60" s="11"/>
      <c r="I60" s="11"/>
      <c r="N60" s="23">
        <f>{100,100,1E-06,0.05,FALSE,FALSE,FALSE,1,1,1,0.0001,FALSE}</f>
        <v>100</v>
      </c>
    </row>
    <row r="62" ht="12.75">
      <c r="B62" s="24" t="s">
        <v>57</v>
      </c>
    </row>
    <row r="63" ht="12.75">
      <c r="B63" s="7" t="s">
        <v>58</v>
      </c>
    </row>
    <row r="64" ht="12.75">
      <c r="B64" s="7" t="s">
        <v>59</v>
      </c>
    </row>
    <row r="65" spans="2:12" ht="12.75">
      <c r="B65" s="7" t="s">
        <v>387</v>
      </c>
      <c r="L65" s="163" t="s">
        <v>391</v>
      </c>
    </row>
    <row r="66" ht="12.75">
      <c r="B66" s="7" t="s">
        <v>60</v>
      </c>
    </row>
    <row r="67" ht="12.75">
      <c r="B67" s="7" t="s">
        <v>61</v>
      </c>
    </row>
    <row r="68" ht="12.75">
      <c r="B68" s="7" t="s">
        <v>62</v>
      </c>
    </row>
    <row r="69" ht="12.75">
      <c r="B69" s="7" t="s">
        <v>63</v>
      </c>
    </row>
    <row r="70" spans="2:10" ht="13.5" thickBot="1">
      <c r="B70" s="7"/>
      <c r="I70" s="1" t="s">
        <v>64</v>
      </c>
      <c r="J70" s="1" t="s">
        <v>65</v>
      </c>
    </row>
    <row r="71" spans="2:10" ht="12.75">
      <c r="B71" s="7" t="s">
        <v>66</v>
      </c>
      <c r="I71" s="120">
        <v>-1</v>
      </c>
      <c r="J71" s="121">
        <v>0.2</v>
      </c>
    </row>
    <row r="72" spans="2:10" ht="12.75">
      <c r="B72" s="7"/>
      <c r="I72" s="122">
        <v>0</v>
      </c>
      <c r="J72" s="123">
        <v>0.45</v>
      </c>
    </row>
    <row r="73" spans="2:10" ht="13.5" thickBot="1">
      <c r="B73" s="25">
        <f>SUMPRODUCT(I71:I73,J71:J73)</f>
        <v>0.14999999999999997</v>
      </c>
      <c r="C73" s="9" t="str">
        <f>showformula(B73)</f>
        <v>=SUMPRODUCT(I71:I73,J71:J73)</v>
      </c>
      <c r="I73" s="124">
        <v>1</v>
      </c>
      <c r="J73" s="125">
        <v>0.35</v>
      </c>
    </row>
    <row r="75" ht="12.75">
      <c r="B75" s="7" t="s">
        <v>67</v>
      </c>
    </row>
    <row r="77" spans="2:3" ht="12.75">
      <c r="B77" s="25">
        <f>SQRT(SUMPRODUCT(I71:I73^2,J71:J73)-B73^2)</f>
        <v>0.7262919523166975</v>
      </c>
      <c r="C77" s="9" t="str">
        <f>showformula(B77)</f>
        <v>=SQRT(SUMPRODUCT(I71:I73^2,J71:J73)-B73^2)</v>
      </c>
    </row>
    <row r="78" ht="12.75">
      <c r="B78" s="7"/>
    </row>
    <row r="79" ht="12.75">
      <c r="B79" s="7" t="s">
        <v>68</v>
      </c>
    </row>
    <row r="80" spans="2:16" ht="12.75">
      <c r="B80" s="7"/>
      <c r="J80" s="105"/>
      <c r="K80" s="105"/>
      <c r="L80" s="105"/>
      <c r="M80" s="105"/>
      <c r="N80" s="105"/>
      <c r="O80" s="105"/>
      <c r="P80" s="105"/>
    </row>
    <row r="81" spans="2:16" ht="12.75">
      <c r="B81" s="25">
        <f>66+20*B73</f>
        <v>69</v>
      </c>
      <c r="C81" s="9" t="str">
        <f>showformula(B81)</f>
        <v>=66+20*B73</v>
      </c>
      <c r="J81" s="105"/>
      <c r="K81" s="105"/>
      <c r="L81" s="105"/>
      <c r="M81" s="105"/>
      <c r="N81" s="105"/>
      <c r="O81" s="105"/>
      <c r="P81" s="105"/>
    </row>
    <row r="82" spans="2:16" ht="12.75">
      <c r="B82" s="7"/>
      <c r="J82" s="105"/>
      <c r="K82" s="105"/>
      <c r="L82" s="105"/>
      <c r="M82" s="105"/>
      <c r="N82" s="105"/>
      <c r="O82" s="105"/>
      <c r="P82" s="105"/>
    </row>
    <row r="83" spans="2:16" ht="12.75">
      <c r="B83" s="7" t="s">
        <v>69</v>
      </c>
      <c r="J83" s="105"/>
      <c r="K83" s="105"/>
      <c r="L83" s="105"/>
      <c r="M83" s="105"/>
      <c r="N83" s="105"/>
      <c r="O83" s="105"/>
      <c r="P83" s="105"/>
    </row>
    <row r="84" spans="2:16" ht="12.75">
      <c r="B84" s="7" t="s">
        <v>70</v>
      </c>
      <c r="J84" s="105"/>
      <c r="K84" s="105"/>
      <c r="L84" s="105"/>
      <c r="M84" s="105"/>
      <c r="N84" s="105"/>
      <c r="O84" s="105"/>
      <c r="P84" s="105"/>
    </row>
    <row r="85" spans="2:16" ht="12.75">
      <c r="B85" s="7"/>
      <c r="J85" s="105"/>
      <c r="K85" s="105"/>
      <c r="L85" s="105"/>
      <c r="M85" s="105"/>
      <c r="N85" s="105"/>
      <c r="O85" s="105"/>
      <c r="P85" s="105"/>
    </row>
    <row r="86" spans="2:16" ht="12.75">
      <c r="B86" s="25">
        <f>SQRT(20)*B77</f>
        <v>3.248076353782343</v>
      </c>
      <c r="C86" s="9" t="str">
        <f>showformula(B86)</f>
        <v>=SQRT(20)*B77</v>
      </c>
      <c r="J86" s="105"/>
      <c r="K86" s="105"/>
      <c r="L86" s="105"/>
      <c r="M86" s="105"/>
      <c r="N86" s="105"/>
      <c r="O86" s="105"/>
      <c r="P86" s="105"/>
    </row>
    <row r="87" spans="2:16" ht="12.75">
      <c r="B87" s="7"/>
      <c r="J87" s="105"/>
      <c r="K87" s="105"/>
      <c r="L87" s="105"/>
      <c r="M87" s="105"/>
      <c r="N87" s="105"/>
      <c r="O87" s="105"/>
      <c r="P87" s="105"/>
    </row>
    <row r="88" spans="2:16" ht="12.75">
      <c r="B88" s="7" t="s">
        <v>71</v>
      </c>
      <c r="J88" s="105"/>
      <c r="K88" s="105"/>
      <c r="L88" s="105"/>
      <c r="M88" s="105"/>
      <c r="N88" s="105"/>
      <c r="O88" s="105"/>
      <c r="P88" s="105"/>
    </row>
    <row r="89" spans="2:16" ht="12.75">
      <c r="B89" s="7" t="s">
        <v>72</v>
      </c>
      <c r="J89" s="105"/>
      <c r="K89" s="105"/>
      <c r="L89" s="105"/>
      <c r="M89" s="105"/>
      <c r="N89" s="105"/>
      <c r="O89" s="105"/>
      <c r="P89" s="105"/>
    </row>
    <row r="90" spans="2:16" ht="12.75">
      <c r="B90" s="7" t="s">
        <v>73</v>
      </c>
      <c r="J90" s="105"/>
      <c r="K90" s="105"/>
      <c r="L90" s="105"/>
      <c r="M90" s="105"/>
      <c r="N90" s="105"/>
      <c r="O90" s="105"/>
      <c r="P90" s="105"/>
    </row>
    <row r="91" spans="2:16" ht="12.75">
      <c r="B91" s="7"/>
      <c r="J91" s="105"/>
      <c r="K91" s="105"/>
      <c r="L91" s="105"/>
      <c r="M91" s="105"/>
      <c r="N91" s="105"/>
      <c r="O91" s="105"/>
      <c r="P91" s="105"/>
    </row>
    <row r="92" spans="2:16" ht="12.75">
      <c r="B92" s="7" t="s">
        <v>74</v>
      </c>
      <c r="J92" s="105"/>
      <c r="K92" s="105"/>
      <c r="L92" s="105"/>
      <c r="M92" s="105"/>
      <c r="N92" s="105"/>
      <c r="O92" s="105"/>
      <c r="P92" s="105"/>
    </row>
    <row r="93" ht="12.75">
      <c r="B93" s="7" t="s">
        <v>75</v>
      </c>
    </row>
    <row r="94" spans="2:16" ht="13.5" thickBot="1">
      <c r="B94" s="7" t="s">
        <v>76</v>
      </c>
      <c r="N94" s="1"/>
      <c r="O94" s="1"/>
      <c r="P94" s="1" t="s">
        <v>140</v>
      </c>
    </row>
    <row r="95" spans="2:16" ht="13.5" thickBot="1">
      <c r="B95" s="7" t="s">
        <v>77</v>
      </c>
      <c r="N95" s="1" t="s">
        <v>64</v>
      </c>
      <c r="O95" s="2" t="s">
        <v>65</v>
      </c>
      <c r="P95" s="102">
        <v>0</v>
      </c>
    </row>
    <row r="96" spans="2:16" ht="12.75">
      <c r="B96" s="7" t="s">
        <v>78</v>
      </c>
      <c r="N96" s="126">
        <v>-1</v>
      </c>
      <c r="O96" s="121">
        <v>0.2</v>
      </c>
      <c r="P96" s="103">
        <f>P95+O96</f>
        <v>0.2</v>
      </c>
    </row>
    <row r="97" spans="2:16" ht="12.75">
      <c r="B97" s="7" t="s">
        <v>79</v>
      </c>
      <c r="N97" s="127">
        <v>0</v>
      </c>
      <c r="O97" s="123">
        <v>0.45</v>
      </c>
      <c r="P97" s="103">
        <f>P96+O97</f>
        <v>0.65</v>
      </c>
    </row>
    <row r="98" spans="2:16" ht="13.5" thickBot="1">
      <c r="B98" s="7" t="s">
        <v>80</v>
      </c>
      <c r="N98" s="128">
        <v>1</v>
      </c>
      <c r="O98" s="125">
        <v>0.35</v>
      </c>
      <c r="P98" s="104">
        <f>P97+O98</f>
        <v>1</v>
      </c>
    </row>
    <row r="99" spans="2:11" ht="12.75">
      <c r="B99" s="7"/>
      <c r="K99" s="1"/>
    </row>
    <row r="100" spans="2:14" ht="12.75">
      <c r="B100" s="7" t="s">
        <v>81</v>
      </c>
      <c r="J100" s="166" t="s">
        <v>82</v>
      </c>
      <c r="K100" s="166" t="s">
        <v>83</v>
      </c>
      <c r="L100" s="166" t="s">
        <v>84</v>
      </c>
      <c r="M100" s="164" t="s">
        <v>139</v>
      </c>
      <c r="N100" s="164" t="s">
        <v>139</v>
      </c>
    </row>
    <row r="101" spans="2:14" ht="13.5" thickBot="1">
      <c r="B101" s="7" t="s">
        <v>85</v>
      </c>
      <c r="J101" s="167"/>
      <c r="K101" s="167"/>
      <c r="L101" s="166"/>
      <c r="M101" s="164"/>
      <c r="N101" s="164"/>
    </row>
    <row r="102" spans="9:15" ht="13.5" thickBot="1">
      <c r="I102" s="12" t="s">
        <v>86</v>
      </c>
      <c r="J102" s="116">
        <v>66</v>
      </c>
      <c r="K102" s="114">
        <f aca="true" ca="1" t="shared" si="0" ref="K102:K121">RAND()</f>
        <v>0.0802698145249241</v>
      </c>
      <c r="L102" s="98">
        <f aca="true" t="shared" si="1" ref="L102:L121">IF(K102&lt;0.2,-1,IF(K102&lt;0.65,0,1))</f>
        <v>-1</v>
      </c>
      <c r="M102" s="99">
        <f aca="true" ca="1" t="shared" si="2" ref="M102:M121">LOOKUP(RAND(),$P$95:$P$97,$N$96:$N$98)</f>
        <v>0</v>
      </c>
      <c r="N102" s="98">
        <f ca="1">LOOKUP(RAND(),{0,0.2,0.65;-1,0,1})</f>
        <v>1</v>
      </c>
      <c r="O102" s="9" t="str">
        <f>showformula(L102)</f>
        <v>=IF(K102&lt;0.2,-1,IF(K102&lt;0.65,0,1))</v>
      </c>
    </row>
    <row r="103" spans="4:15" ht="13.5" thickBot="1">
      <c r="D103" s="26">
        <f>-50+IF(J122&gt;70,100*(J122-70),0)</f>
        <v>-50</v>
      </c>
      <c r="E103" s="9" t="str">
        <f>showformula(D103)</f>
        <v>=-50+IF(J122&gt;70,100*(J122-70),0)</v>
      </c>
      <c r="I103" s="12" t="s">
        <v>87</v>
      </c>
      <c r="J103" s="117">
        <f aca="true" t="shared" si="3" ref="J103:J122">J102+L102</f>
        <v>65</v>
      </c>
      <c r="K103" s="112">
        <f ca="1" t="shared" si="0"/>
        <v>0.07203553702180376</v>
      </c>
      <c r="L103" s="76">
        <f t="shared" si="1"/>
        <v>-1</v>
      </c>
      <c r="M103" s="100">
        <f ca="1" t="shared" si="2"/>
        <v>0</v>
      </c>
      <c r="N103" s="76">
        <f ca="1">LOOKUP(RAND(),{0,0.2,0.65;-1,0,1})</f>
        <v>-1</v>
      </c>
      <c r="O103" s="9" t="str">
        <f>showformula(M102)</f>
        <v>=LOOKUP(RAND(),$P$95:$P$97,$N$96:$N$98)</v>
      </c>
    </row>
    <row r="104" spans="5:15" ht="12.75">
      <c r="E104" s="9" t="s">
        <v>88</v>
      </c>
      <c r="I104" s="12" t="s">
        <v>89</v>
      </c>
      <c r="J104" s="117">
        <f t="shared" si="3"/>
        <v>64</v>
      </c>
      <c r="K104" s="112">
        <f ca="1" t="shared" si="0"/>
        <v>0.1620837040756704</v>
      </c>
      <c r="L104" s="76">
        <f t="shared" si="1"/>
        <v>-1</v>
      </c>
      <c r="M104" s="100">
        <f ca="1" t="shared" si="2"/>
        <v>1</v>
      </c>
      <c r="N104" s="76">
        <f ca="1">LOOKUP(RAND(),{0,0.2,0.65;-1,0,1})</f>
        <v>0</v>
      </c>
      <c r="O104" s="9" t="str">
        <f>showformula(N102)</f>
        <v>=LOOKUP(RAND(),{0,0.2,0.65;-1,0,1})</v>
      </c>
    </row>
    <row r="105" spans="9:14" ht="12.75">
      <c r="I105" s="12" t="s">
        <v>90</v>
      </c>
      <c r="J105" s="117">
        <f t="shared" si="3"/>
        <v>63</v>
      </c>
      <c r="K105" s="112">
        <f ca="1" t="shared" si="0"/>
        <v>0.8521413475548617</v>
      </c>
      <c r="L105" s="76">
        <f t="shared" si="1"/>
        <v>1</v>
      </c>
      <c r="M105" s="100">
        <f ca="1" t="shared" si="2"/>
        <v>0</v>
      </c>
      <c r="N105" s="76">
        <f ca="1">LOOKUP(RAND(),{0,0.2,0.65;-1,0,1})</f>
        <v>0</v>
      </c>
    </row>
    <row r="106" spans="3:14" ht="12.75">
      <c r="C106" s="83" t="str">
        <f>ADDRESS(ROW($J$122),COLUMN($J$122))</f>
        <v>$J$122</v>
      </c>
      <c r="D106" s="84" t="str">
        <f>ADDRESS(ROW($D$103),COLUMN($D$103))</f>
        <v>$D$103</v>
      </c>
      <c r="E106" s="85" t="s">
        <v>91</v>
      </c>
      <c r="F106" s="86"/>
      <c r="G106" s="87"/>
      <c r="I106" s="12" t="s">
        <v>92</v>
      </c>
      <c r="J106" s="117">
        <f t="shared" si="3"/>
        <v>64</v>
      </c>
      <c r="K106" s="112">
        <f ca="1" t="shared" si="0"/>
        <v>0.363617220260563</v>
      </c>
      <c r="L106" s="76">
        <f t="shared" si="1"/>
        <v>0</v>
      </c>
      <c r="M106" s="100">
        <f ca="1" t="shared" si="2"/>
        <v>0</v>
      </c>
      <c r="N106" s="76">
        <f ca="1">LOOKUP(RAND(),{0,0.2,0.65;-1,0,1})</f>
        <v>1</v>
      </c>
    </row>
    <row r="107" spans="3:14" ht="12.75">
      <c r="C107" s="88">
        <v>69.02744</v>
      </c>
      <c r="D107" s="27">
        <v>35.666</v>
      </c>
      <c r="E107" s="28" t="s">
        <v>93</v>
      </c>
      <c r="F107" s="29"/>
      <c r="G107" s="89"/>
      <c r="I107" s="12" t="s">
        <v>94</v>
      </c>
      <c r="J107" s="117">
        <f t="shared" si="3"/>
        <v>64</v>
      </c>
      <c r="K107" s="112">
        <f ca="1" t="shared" si="0"/>
        <v>0.0509972391596194</v>
      </c>
      <c r="L107" s="76">
        <f t="shared" si="1"/>
        <v>-1</v>
      </c>
      <c r="M107" s="100">
        <f ca="1" t="shared" si="2"/>
        <v>1</v>
      </c>
      <c r="N107" s="76">
        <f ca="1">LOOKUP(RAND(),{0,0.2,0.65;-1,0,1})</f>
        <v>-1</v>
      </c>
    </row>
    <row r="108" spans="3:14" ht="12.75">
      <c r="C108" s="88">
        <v>3.249476608373196</v>
      </c>
      <c r="D108" s="27">
        <v>155.16706474107065</v>
      </c>
      <c r="E108" s="28" t="s">
        <v>95</v>
      </c>
      <c r="F108" s="29"/>
      <c r="G108" s="89"/>
      <c r="I108" s="12" t="s">
        <v>96</v>
      </c>
      <c r="J108" s="117">
        <f t="shared" si="3"/>
        <v>63</v>
      </c>
      <c r="K108" s="112">
        <f ca="1" t="shared" si="0"/>
        <v>0.41660887983222117</v>
      </c>
      <c r="L108" s="76">
        <f t="shared" si="1"/>
        <v>0</v>
      </c>
      <c r="M108" s="100">
        <f ca="1" t="shared" si="2"/>
        <v>0</v>
      </c>
      <c r="N108" s="76">
        <f ca="1">LOOKUP(RAND(),{0,0.2,0.65;-1,0,1})</f>
        <v>0</v>
      </c>
    </row>
    <row r="109" spans="3:14" ht="12.75">
      <c r="C109" s="90">
        <v>55</v>
      </c>
      <c r="D109" s="30">
        <v>-50</v>
      </c>
      <c r="E109" s="28" t="s">
        <v>97</v>
      </c>
      <c r="F109" s="29"/>
      <c r="G109" s="89"/>
      <c r="I109" s="12" t="s">
        <v>98</v>
      </c>
      <c r="J109" s="117">
        <f t="shared" si="3"/>
        <v>63</v>
      </c>
      <c r="K109" s="112">
        <f ca="1" t="shared" si="0"/>
        <v>0.29639558146169065</v>
      </c>
      <c r="L109" s="76">
        <f t="shared" si="1"/>
        <v>0</v>
      </c>
      <c r="M109" s="100">
        <f ca="1" t="shared" si="2"/>
        <v>-1</v>
      </c>
      <c r="N109" s="76">
        <f ca="1">LOOKUP(RAND(),{0,0.2,0.65;-1,0,1})</f>
        <v>0</v>
      </c>
    </row>
    <row r="110" spans="3:14" ht="12.75">
      <c r="C110" s="90">
        <v>82</v>
      </c>
      <c r="D110" s="30">
        <v>1150</v>
      </c>
      <c r="E110" s="28" t="s">
        <v>99</v>
      </c>
      <c r="F110" s="29"/>
      <c r="G110" s="89"/>
      <c r="I110" s="12" t="s">
        <v>100</v>
      </c>
      <c r="J110" s="117">
        <f t="shared" si="3"/>
        <v>63</v>
      </c>
      <c r="K110" s="112">
        <f ca="1" t="shared" si="0"/>
        <v>0.21854787866395098</v>
      </c>
      <c r="L110" s="76">
        <f t="shared" si="1"/>
        <v>0</v>
      </c>
      <c r="M110" s="100">
        <f ca="1" t="shared" si="2"/>
        <v>0</v>
      </c>
      <c r="N110" s="76">
        <f ca="1">LOOKUP(RAND(),{0,0.2,0.65;-1,0,1})</f>
        <v>1</v>
      </c>
    </row>
    <row r="111" spans="3:14" ht="12.75">
      <c r="C111" s="91">
        <v>50000</v>
      </c>
      <c r="D111" s="92">
        <v>50000</v>
      </c>
      <c r="E111" s="93" t="s">
        <v>101</v>
      </c>
      <c r="F111" s="11"/>
      <c r="G111" s="94"/>
      <c r="I111" s="12" t="s">
        <v>102</v>
      </c>
      <c r="J111" s="117">
        <f t="shared" si="3"/>
        <v>63</v>
      </c>
      <c r="K111" s="112">
        <f ca="1" t="shared" si="0"/>
        <v>0.8828939243028654</v>
      </c>
      <c r="L111" s="76">
        <f t="shared" si="1"/>
        <v>1</v>
      </c>
      <c r="M111" s="100">
        <f ca="1" t="shared" si="2"/>
        <v>1</v>
      </c>
      <c r="N111" s="76">
        <f ca="1">LOOKUP(RAND(),{0,0.2,0.65;-1,0,1})</f>
        <v>1</v>
      </c>
    </row>
    <row r="112" spans="3:14" ht="12.75">
      <c r="C112" s="82">
        <f>1.96*C108/SQRT(C111)</f>
        <v>0.02848291830346228</v>
      </c>
      <c r="D112" s="82">
        <f>1.96*D108/SQRT(D111)</f>
        <v>1.3600992901501676</v>
      </c>
      <c r="E112" s="28" t="s">
        <v>103</v>
      </c>
      <c r="F112" s="29"/>
      <c r="G112" s="29"/>
      <c r="I112" s="12" t="s">
        <v>104</v>
      </c>
      <c r="J112" s="117">
        <f t="shared" si="3"/>
        <v>64</v>
      </c>
      <c r="K112" s="112">
        <f ca="1" t="shared" si="0"/>
        <v>0.3375734948832356</v>
      </c>
      <c r="L112" s="76">
        <f t="shared" si="1"/>
        <v>0</v>
      </c>
      <c r="M112" s="100">
        <f ca="1" t="shared" si="2"/>
        <v>1</v>
      </c>
      <c r="N112" s="76">
        <f ca="1">LOOKUP(RAND(),{0,0.2,0.65;-1,0,1})</f>
        <v>0</v>
      </c>
    </row>
    <row r="113" spans="9:14" ht="12.75">
      <c r="I113" s="12" t="s">
        <v>105</v>
      </c>
      <c r="J113" s="117">
        <f t="shared" si="3"/>
        <v>64</v>
      </c>
      <c r="K113" s="112">
        <f ca="1" t="shared" si="0"/>
        <v>0.6784645722559072</v>
      </c>
      <c r="L113" s="76">
        <f t="shared" si="1"/>
        <v>1</v>
      </c>
      <c r="M113" s="100">
        <f ca="1" t="shared" si="2"/>
        <v>0</v>
      </c>
      <c r="N113" s="76">
        <f ca="1">LOOKUP(RAND(),{0,0.2,0.65;-1,0,1})</f>
        <v>-1</v>
      </c>
    </row>
    <row r="114" spans="2:14" ht="12.75">
      <c r="B114" t="s">
        <v>377</v>
      </c>
      <c r="C114" s="31"/>
      <c r="I114" s="12" t="s">
        <v>106</v>
      </c>
      <c r="J114" s="117">
        <f t="shared" si="3"/>
        <v>65</v>
      </c>
      <c r="K114" s="112">
        <f ca="1" t="shared" si="0"/>
        <v>0.06482262215626666</v>
      </c>
      <c r="L114" s="76">
        <f t="shared" si="1"/>
        <v>-1</v>
      </c>
      <c r="M114" s="100">
        <f ca="1" t="shared" si="2"/>
        <v>-1</v>
      </c>
      <c r="N114" s="76">
        <f ca="1">LOOKUP(RAND(),{0,0.2,0.65;-1,0,1})</f>
        <v>0</v>
      </c>
    </row>
    <row r="115" spans="3:14" ht="12.75">
      <c r="C115" s="31"/>
      <c r="D115" s="31"/>
      <c r="E115" s="32"/>
      <c r="I115" s="12" t="s">
        <v>107</v>
      </c>
      <c r="J115" s="117">
        <f t="shared" si="3"/>
        <v>64</v>
      </c>
      <c r="K115" s="112">
        <f ca="1" t="shared" si="0"/>
        <v>0.7072820368276289</v>
      </c>
      <c r="L115" s="76">
        <f t="shared" si="1"/>
        <v>1</v>
      </c>
      <c r="M115" s="100">
        <f ca="1" t="shared" si="2"/>
        <v>0</v>
      </c>
      <c r="N115" s="76">
        <f ca="1">LOOKUP(RAND(),{0,0.2,0.65;-1,0,1})</f>
        <v>0</v>
      </c>
    </row>
    <row r="116" spans="3:14" ht="12.75">
      <c r="C116" s="33"/>
      <c r="D116" s="25">
        <v>34.62074608033344</v>
      </c>
      <c r="E116" s="9" t="s">
        <v>108</v>
      </c>
      <c r="I116" s="12" t="s">
        <v>109</v>
      </c>
      <c r="J116" s="117">
        <f t="shared" si="3"/>
        <v>65</v>
      </c>
      <c r="K116" s="112">
        <f ca="1" t="shared" si="0"/>
        <v>0.8072117747808447</v>
      </c>
      <c r="L116" s="76">
        <f t="shared" si="1"/>
        <v>1</v>
      </c>
      <c r="M116" s="100">
        <f ca="1" t="shared" si="2"/>
        <v>-1</v>
      </c>
      <c r="N116" s="76">
        <f ca="1">LOOKUP(RAND(),{0,0.2,0.65;-1,0,1})</f>
        <v>1</v>
      </c>
    </row>
    <row r="117" spans="4:14" ht="12.75">
      <c r="D117" s="25">
        <v>153.27592434168244</v>
      </c>
      <c r="E117" s="9" t="s">
        <v>110</v>
      </c>
      <c r="I117" s="12" t="s">
        <v>111</v>
      </c>
      <c r="J117" s="117">
        <f t="shared" si="3"/>
        <v>66</v>
      </c>
      <c r="K117" s="112">
        <f ca="1" t="shared" si="0"/>
        <v>0.9925637917188185</v>
      </c>
      <c r="L117" s="76">
        <f t="shared" si="1"/>
        <v>1</v>
      </c>
      <c r="M117" s="100">
        <f ca="1" t="shared" si="2"/>
        <v>1</v>
      </c>
      <c r="N117" s="76">
        <f ca="1">LOOKUP(RAND(),{0,0.2,0.65;-1,0,1})</f>
        <v>1</v>
      </c>
    </row>
    <row r="118" spans="4:14" ht="12.75">
      <c r="D118" s="6">
        <v>0.32513582730897383</v>
      </c>
      <c r="E118" s="9" t="s">
        <v>143</v>
      </c>
      <c r="I118" s="12" t="s">
        <v>112</v>
      </c>
      <c r="J118" s="117">
        <f t="shared" si="3"/>
        <v>67</v>
      </c>
      <c r="K118" s="112">
        <f ca="1" t="shared" si="0"/>
        <v>0.8972485889693593</v>
      </c>
      <c r="L118" s="76">
        <f t="shared" si="1"/>
        <v>1</v>
      </c>
      <c r="M118" s="100">
        <f ca="1" t="shared" si="2"/>
        <v>0</v>
      </c>
      <c r="N118" s="76">
        <f ca="1">LOOKUP(RAND(),{0,0.2,0.65;-1,0,1})</f>
        <v>1</v>
      </c>
    </row>
    <row r="119" spans="9:14" ht="12.75">
      <c r="I119" s="12" t="s">
        <v>113</v>
      </c>
      <c r="J119" s="117">
        <f t="shared" si="3"/>
        <v>68</v>
      </c>
      <c r="K119" s="112">
        <f ca="1" t="shared" si="0"/>
        <v>0.23801848183692742</v>
      </c>
      <c r="L119" s="76">
        <f t="shared" si="1"/>
        <v>0</v>
      </c>
      <c r="M119" s="100">
        <f ca="1" t="shared" si="2"/>
        <v>1</v>
      </c>
      <c r="N119" s="76">
        <f ca="1">LOOKUP(RAND(),{0,0.2,0.65;-1,0,1})</f>
        <v>1</v>
      </c>
    </row>
    <row r="120" spans="9:14" ht="12.75">
      <c r="I120" s="12" t="s">
        <v>114</v>
      </c>
      <c r="J120" s="117">
        <f t="shared" si="3"/>
        <v>68</v>
      </c>
      <c r="K120" s="112">
        <f ca="1" t="shared" si="0"/>
        <v>0.8032084371726418</v>
      </c>
      <c r="L120" s="76">
        <f t="shared" si="1"/>
        <v>1</v>
      </c>
      <c r="M120" s="100">
        <f ca="1" t="shared" si="2"/>
        <v>1</v>
      </c>
      <c r="N120" s="76">
        <f ca="1">LOOKUP(RAND(),{0,0.2,0.65;-1,0,1})</f>
        <v>1</v>
      </c>
    </row>
    <row r="121" spans="3:14" ht="13.5" thickBot="1">
      <c r="C121" s="29"/>
      <c r="E121" s="9"/>
      <c r="G121" s="29"/>
      <c r="I121" s="12" t="s">
        <v>115</v>
      </c>
      <c r="J121" s="117">
        <f t="shared" si="3"/>
        <v>69</v>
      </c>
      <c r="K121" s="115">
        <f ca="1" t="shared" si="0"/>
        <v>0.11237745453113701</v>
      </c>
      <c r="L121" s="79">
        <f t="shared" si="1"/>
        <v>-1</v>
      </c>
      <c r="M121" s="109">
        <f ca="1" t="shared" si="2"/>
        <v>0</v>
      </c>
      <c r="N121" s="79">
        <f ca="1">LOOKUP(RAND(),{0,0.2,0.65;-1,0,1})</f>
        <v>-1</v>
      </c>
    </row>
    <row r="122" spans="7:13" ht="13.5" thickBot="1">
      <c r="G122" s="29"/>
      <c r="H122" s="107"/>
      <c r="I122" s="108" t="s">
        <v>116</v>
      </c>
      <c r="J122" s="118">
        <f t="shared" si="3"/>
        <v>68</v>
      </c>
      <c r="K122" s="112"/>
      <c r="L122" s="113"/>
      <c r="M122" s="101"/>
    </row>
    <row r="123" spans="7:12" ht="12.75">
      <c r="G123" s="29"/>
      <c r="H123" s="29"/>
      <c r="I123" s="110"/>
      <c r="J123" s="111"/>
      <c r="K123" s="112"/>
      <c r="L123" s="113"/>
    </row>
    <row r="124" spans="1:14" ht="12.75">
      <c r="A124" s="156"/>
      <c r="B124" s="156"/>
      <c r="C124" s="156"/>
      <c r="D124" s="156"/>
      <c r="E124" s="156"/>
      <c r="F124" s="156"/>
      <c r="G124" s="157"/>
      <c r="H124" s="157"/>
      <c r="I124" s="158"/>
      <c r="J124" s="159"/>
      <c r="K124" s="160"/>
      <c r="L124" s="161"/>
      <c r="M124" s="156"/>
      <c r="N124" s="156"/>
    </row>
    <row r="125" spans="7:12" ht="12.75">
      <c r="G125" s="29"/>
      <c r="H125" s="29"/>
      <c r="I125" s="110"/>
      <c r="J125" s="111"/>
      <c r="K125" s="112"/>
      <c r="L125" s="113"/>
    </row>
    <row r="126" spans="2:12" ht="12.75">
      <c r="B126" t="s">
        <v>386</v>
      </c>
      <c r="G126" s="29"/>
      <c r="H126" s="29"/>
      <c r="I126" s="110"/>
      <c r="J126" s="111"/>
      <c r="K126" s="112"/>
      <c r="L126" s="113"/>
    </row>
    <row r="127" spans="7:12" ht="12.75">
      <c r="G127" s="29"/>
      <c r="H127" s="29"/>
      <c r="I127" s="110"/>
      <c r="J127" s="111"/>
      <c r="K127" s="112"/>
      <c r="L127" s="113"/>
    </row>
    <row r="128" spans="7:12" ht="13.5" thickBot="1">
      <c r="G128" s="29"/>
      <c r="H128" s="29"/>
      <c r="I128" s="110"/>
      <c r="J128" s="111"/>
      <c r="K128" s="112"/>
      <c r="L128" s="113"/>
    </row>
    <row r="129" spans="2:12" ht="12.75">
      <c r="B129" s="146" t="s">
        <v>145</v>
      </c>
      <c r="C129" s="133"/>
      <c r="D129" s="133"/>
      <c r="E129" s="134"/>
      <c r="F129" s="133"/>
      <c r="G129" s="133"/>
      <c r="H129" s="135"/>
      <c r="I129" s="110"/>
      <c r="J129" s="111"/>
      <c r="K129" s="112"/>
      <c r="L129" s="113"/>
    </row>
    <row r="130" spans="2:12" ht="12.75">
      <c r="B130" s="147" t="s">
        <v>146</v>
      </c>
      <c r="C130" s="97"/>
      <c r="D130" s="29"/>
      <c r="E130" s="105"/>
      <c r="F130" s="29"/>
      <c r="G130" s="29"/>
      <c r="H130" s="137"/>
      <c r="I130" s="110"/>
      <c r="J130" s="111"/>
      <c r="K130" s="112"/>
      <c r="L130" s="113"/>
    </row>
    <row r="131" spans="2:10" ht="12.75">
      <c r="B131" s="147"/>
      <c r="C131" s="29"/>
      <c r="D131" s="29"/>
      <c r="E131" s="105"/>
      <c r="F131" s="29"/>
      <c r="G131" s="29"/>
      <c r="H131" s="138"/>
      <c r="I131" s="31"/>
      <c r="J131" s="32"/>
    </row>
    <row r="132" spans="2:10" ht="12.75">
      <c r="B132" s="147"/>
      <c r="C132" s="106"/>
      <c r="D132" s="139">
        <f>1-NORMDIST(70.5,B81,B86,TRUE)</f>
        <v>0.32210814268187915</v>
      </c>
      <c r="E132" s="105" t="s">
        <v>143</v>
      </c>
      <c r="F132" s="29"/>
      <c r="G132" s="29"/>
      <c r="H132" s="138"/>
      <c r="I132" s="148" t="str">
        <f>showformula(D132)</f>
        <v>=1-NORMDIST(70.5,B81,B86,TRUE)</v>
      </c>
      <c r="J132" s="32"/>
    </row>
    <row r="133" spans="2:9" ht="12.75">
      <c r="B133" s="147"/>
      <c r="C133" s="30"/>
      <c r="D133" s="29"/>
      <c r="E133" s="29"/>
      <c r="F133" s="29"/>
      <c r="G133" s="132"/>
      <c r="H133" s="137"/>
      <c r="I133" s="9"/>
    </row>
    <row r="134" spans="2:9" ht="12.75">
      <c r="B134" s="147" t="s">
        <v>147</v>
      </c>
      <c r="C134" s="30"/>
      <c r="D134" s="29"/>
      <c r="E134" s="29"/>
      <c r="F134" s="29"/>
      <c r="G134" s="29"/>
      <c r="H134" s="137"/>
      <c r="I134" s="9"/>
    </row>
    <row r="135" spans="2:9" ht="12.75">
      <c r="B135" s="136"/>
      <c r="C135" s="30"/>
      <c r="D135" s="29"/>
      <c r="E135" s="29"/>
      <c r="F135" s="29"/>
      <c r="G135" s="29"/>
      <c r="H135" s="137"/>
      <c r="I135" s="9"/>
    </row>
    <row r="136" spans="2:9" ht="12.75">
      <c r="B136" s="136"/>
      <c r="C136" s="106"/>
      <c r="D136" s="82">
        <f>B81+B86^2*NORMDIST(70.5,B81,B86,FALSE)/(1-NORMDIST(70.5,B81,B86,TRUE))</f>
        <v>72.61595959547532</v>
      </c>
      <c r="E136" s="105" t="s">
        <v>148</v>
      </c>
      <c r="F136" s="29"/>
      <c r="G136" s="29"/>
      <c r="H136" s="137"/>
      <c r="I136" s="148" t="str">
        <f>showformula(D136)</f>
        <v>=B81+B86^2*NORMDIST(70.5,B81,B86,FALSE)/(1-NORMDIST(70.5,B81,B86,TRUE))</v>
      </c>
    </row>
    <row r="137" spans="2:9" ht="13.5" thickBot="1">
      <c r="B137" s="140"/>
      <c r="C137" s="141"/>
      <c r="D137" s="142">
        <f>-50+(D136-70)*100*D132</f>
        <v>34.26218866293944</v>
      </c>
      <c r="E137" s="143" t="s">
        <v>108</v>
      </c>
      <c r="F137" s="144"/>
      <c r="G137" s="144"/>
      <c r="H137" s="145"/>
      <c r="I137" s="148" t="str">
        <f>showformula(D137)</f>
        <v>=-50+(D136-70)*100*D132</v>
      </c>
    </row>
    <row r="138" ht="12.75">
      <c r="C138" s="95"/>
    </row>
    <row r="139" spans="3:9" ht="12.75">
      <c r="C139" s="95"/>
      <c r="I139" t="s">
        <v>149</v>
      </c>
    </row>
    <row r="140" ht="12.75">
      <c r="C140" s="95"/>
    </row>
    <row r="141" spans="3:9" ht="12.75">
      <c r="C141" s="95"/>
      <c r="I141" t="s">
        <v>374</v>
      </c>
    </row>
    <row r="142" ht="12.75">
      <c r="I142" t="s">
        <v>375</v>
      </c>
    </row>
    <row r="143" ht="12.75">
      <c r="I143" t="s">
        <v>376</v>
      </c>
    </row>
  </sheetData>
  <sheetProtection/>
  <mergeCells count="6">
    <mergeCell ref="M100:M101"/>
    <mergeCell ref="N100:N101"/>
    <mergeCell ref="B1:H1"/>
    <mergeCell ref="L100:L101"/>
    <mergeCell ref="J100:J101"/>
    <mergeCell ref="K100:K10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S79"/>
  <sheetViews>
    <sheetView showGridLines="0" zoomScalePageLayoutView="0" workbookViewId="0" topLeftCell="A1">
      <selection activeCell="B1" sqref="B1:G1"/>
    </sheetView>
  </sheetViews>
  <sheetFormatPr defaultColWidth="9.140625" defaultRowHeight="12.75"/>
  <cols>
    <col min="1" max="1" width="1.7109375" style="0" customWidth="1"/>
    <col min="5" max="5" width="10.28125" style="0" bestFit="1" customWidth="1"/>
    <col min="6" max="6" width="9.28125" style="0" bestFit="1" customWidth="1"/>
    <col min="8" max="8" width="9.28125" style="0" bestFit="1" customWidth="1"/>
    <col min="12" max="12" width="9.28125" style="0" bestFit="1" customWidth="1"/>
  </cols>
  <sheetData>
    <row r="1" spans="2:7" ht="15.75">
      <c r="B1" s="165" t="s">
        <v>117</v>
      </c>
      <c r="C1" s="165"/>
      <c r="D1" s="165"/>
      <c r="E1" s="165"/>
      <c r="F1" s="165"/>
      <c r="G1" s="165"/>
    </row>
    <row r="3" spans="4:5" ht="12.75">
      <c r="D3" s="34"/>
      <c r="E3" s="35" t="s">
        <v>118</v>
      </c>
    </row>
    <row r="4" ht="12.75">
      <c r="F4" s="35" t="s">
        <v>119</v>
      </c>
    </row>
    <row r="5" ht="13.5" thickBot="1">
      <c r="C5" s="1"/>
    </row>
    <row r="6" spans="2:19" ht="13.5" thickBot="1">
      <c r="B6" s="36" t="s">
        <v>120</v>
      </c>
      <c r="C6" s="1"/>
      <c r="D6" s="37">
        <v>5</v>
      </c>
      <c r="E6" s="38">
        <v>6</v>
      </c>
      <c r="F6" s="39">
        <v>7</v>
      </c>
      <c r="G6" s="38">
        <v>8</v>
      </c>
      <c r="H6" s="38">
        <v>9</v>
      </c>
      <c r="I6" s="38">
        <v>10</v>
      </c>
      <c r="J6" s="38">
        <v>11</v>
      </c>
      <c r="K6" s="40">
        <v>12</v>
      </c>
      <c r="L6" s="38">
        <v>13</v>
      </c>
      <c r="M6" s="38">
        <v>14</v>
      </c>
      <c r="N6" s="38">
        <v>15</v>
      </c>
      <c r="O6" s="38">
        <v>16</v>
      </c>
      <c r="P6" s="38">
        <v>17</v>
      </c>
      <c r="Q6" s="38">
        <v>18</v>
      </c>
      <c r="R6" s="38">
        <v>19</v>
      </c>
      <c r="S6" s="41">
        <v>20</v>
      </c>
    </row>
    <row r="7" spans="3:19" ht="13.5" thickBot="1">
      <c r="C7" s="1"/>
      <c r="D7" s="1">
        <f aca="true" t="shared" si="0" ref="D7:S7">20-D6</f>
        <v>15</v>
      </c>
      <c r="E7" s="1">
        <f t="shared" si="0"/>
        <v>14</v>
      </c>
      <c r="F7" s="42">
        <f t="shared" si="0"/>
        <v>13</v>
      </c>
      <c r="G7" s="1">
        <f t="shared" si="0"/>
        <v>12</v>
      </c>
      <c r="H7" s="1">
        <f t="shared" si="0"/>
        <v>11</v>
      </c>
      <c r="I7" s="1">
        <f t="shared" si="0"/>
        <v>10</v>
      </c>
      <c r="J7" s="1">
        <f t="shared" si="0"/>
        <v>9</v>
      </c>
      <c r="K7" s="43">
        <f t="shared" si="0"/>
        <v>8</v>
      </c>
      <c r="L7" s="1">
        <f t="shared" si="0"/>
        <v>7</v>
      </c>
      <c r="M7" s="1">
        <f t="shared" si="0"/>
        <v>6</v>
      </c>
      <c r="N7" s="1">
        <f t="shared" si="0"/>
        <v>5</v>
      </c>
      <c r="O7" s="1">
        <f t="shared" si="0"/>
        <v>4</v>
      </c>
      <c r="P7" s="1">
        <f t="shared" si="0"/>
        <v>3</v>
      </c>
      <c r="Q7" s="1">
        <f t="shared" si="0"/>
        <v>2</v>
      </c>
      <c r="R7" s="1">
        <f t="shared" si="0"/>
        <v>1</v>
      </c>
      <c r="S7" s="1">
        <f t="shared" si="0"/>
        <v>0</v>
      </c>
    </row>
    <row r="8" spans="3:19" ht="12.75">
      <c r="C8" s="18">
        <v>71</v>
      </c>
      <c r="D8" s="44">
        <f aca="true" t="shared" si="1" ref="D8:S17">D$6-($C8-66)</f>
        <v>0</v>
      </c>
      <c r="E8" s="45">
        <f t="shared" si="1"/>
        <v>1</v>
      </c>
      <c r="F8" s="46">
        <f t="shared" si="1"/>
        <v>2</v>
      </c>
      <c r="G8" s="45">
        <f t="shared" si="1"/>
        <v>3</v>
      </c>
      <c r="H8" s="45">
        <f t="shared" si="1"/>
        <v>4</v>
      </c>
      <c r="I8" s="45">
        <f t="shared" si="1"/>
        <v>5</v>
      </c>
      <c r="J8" s="45">
        <f t="shared" si="1"/>
        <v>6</v>
      </c>
      <c r="K8" s="45">
        <f t="shared" si="1"/>
        <v>7</v>
      </c>
      <c r="L8" s="45">
        <f t="shared" si="1"/>
        <v>8</v>
      </c>
      <c r="M8" s="45">
        <f t="shared" si="1"/>
        <v>9</v>
      </c>
      <c r="N8" s="45">
        <f t="shared" si="1"/>
        <v>10</v>
      </c>
      <c r="O8" s="45">
        <f t="shared" si="1"/>
        <v>11</v>
      </c>
      <c r="P8" s="45">
        <f t="shared" si="1"/>
        <v>12</v>
      </c>
      <c r="Q8" s="45">
        <f t="shared" si="1"/>
        <v>13</v>
      </c>
      <c r="R8" s="45">
        <f t="shared" si="1"/>
        <v>14</v>
      </c>
      <c r="S8" s="47">
        <f t="shared" si="1"/>
        <v>15</v>
      </c>
    </row>
    <row r="9" spans="3:19" ht="12.75">
      <c r="C9" s="48">
        <v>72</v>
      </c>
      <c r="D9" s="49">
        <f t="shared" si="1"/>
        <v>-1</v>
      </c>
      <c r="E9" s="50">
        <f t="shared" si="1"/>
        <v>0</v>
      </c>
      <c r="F9" s="51">
        <f t="shared" si="1"/>
        <v>1</v>
      </c>
      <c r="G9" s="50">
        <f t="shared" si="1"/>
        <v>2</v>
      </c>
      <c r="H9" s="50">
        <f t="shared" si="1"/>
        <v>3</v>
      </c>
      <c r="I9" s="50">
        <f t="shared" si="1"/>
        <v>4</v>
      </c>
      <c r="J9" s="50">
        <f t="shared" si="1"/>
        <v>5</v>
      </c>
      <c r="K9" s="52">
        <f t="shared" si="1"/>
        <v>6</v>
      </c>
      <c r="L9" s="50">
        <f t="shared" si="1"/>
        <v>7</v>
      </c>
      <c r="M9" s="50">
        <f t="shared" si="1"/>
        <v>8</v>
      </c>
      <c r="N9" s="50">
        <f t="shared" si="1"/>
        <v>9</v>
      </c>
      <c r="O9" s="50">
        <f t="shared" si="1"/>
        <v>10</v>
      </c>
      <c r="P9" s="50">
        <f t="shared" si="1"/>
        <v>11</v>
      </c>
      <c r="Q9" s="50">
        <f t="shared" si="1"/>
        <v>12</v>
      </c>
      <c r="R9" s="50">
        <f t="shared" si="1"/>
        <v>13</v>
      </c>
      <c r="S9" s="53">
        <f t="shared" si="1"/>
        <v>14</v>
      </c>
    </row>
    <row r="10" spans="3:19" ht="12.75">
      <c r="C10" s="18">
        <v>73</v>
      </c>
      <c r="D10" s="49">
        <f t="shared" si="1"/>
        <v>-2</v>
      </c>
      <c r="E10" s="50">
        <f t="shared" si="1"/>
        <v>-1</v>
      </c>
      <c r="F10" s="50">
        <f t="shared" si="1"/>
        <v>0</v>
      </c>
      <c r="G10" s="50">
        <f t="shared" si="1"/>
        <v>1</v>
      </c>
      <c r="H10" s="50">
        <f t="shared" si="1"/>
        <v>2</v>
      </c>
      <c r="I10" s="50">
        <f t="shared" si="1"/>
        <v>3</v>
      </c>
      <c r="J10" s="50">
        <f t="shared" si="1"/>
        <v>4</v>
      </c>
      <c r="K10" s="50">
        <f t="shared" si="1"/>
        <v>5</v>
      </c>
      <c r="L10" s="50">
        <f t="shared" si="1"/>
        <v>6</v>
      </c>
      <c r="M10" s="50">
        <f t="shared" si="1"/>
        <v>7</v>
      </c>
      <c r="N10" s="50">
        <f t="shared" si="1"/>
        <v>8</v>
      </c>
      <c r="O10" s="50">
        <f t="shared" si="1"/>
        <v>9</v>
      </c>
      <c r="P10" s="50">
        <f t="shared" si="1"/>
        <v>10</v>
      </c>
      <c r="Q10" s="50">
        <f t="shared" si="1"/>
        <v>11</v>
      </c>
      <c r="R10" s="50">
        <f t="shared" si="1"/>
        <v>12</v>
      </c>
      <c r="S10" s="53">
        <f t="shared" si="1"/>
        <v>13</v>
      </c>
    </row>
    <row r="11" spans="2:19" ht="12.75">
      <c r="B11" s="169" t="s">
        <v>121</v>
      </c>
      <c r="C11" s="18">
        <v>74</v>
      </c>
      <c r="D11" s="49">
        <f t="shared" si="1"/>
        <v>-3</v>
      </c>
      <c r="E11" s="50">
        <f t="shared" si="1"/>
        <v>-2</v>
      </c>
      <c r="F11" s="50">
        <f t="shared" si="1"/>
        <v>-1</v>
      </c>
      <c r="G11" s="50">
        <f t="shared" si="1"/>
        <v>0</v>
      </c>
      <c r="H11" s="50">
        <f t="shared" si="1"/>
        <v>1</v>
      </c>
      <c r="I11" s="50">
        <f t="shared" si="1"/>
        <v>2</v>
      </c>
      <c r="J11" s="50">
        <f t="shared" si="1"/>
        <v>3</v>
      </c>
      <c r="K11" s="50">
        <f t="shared" si="1"/>
        <v>4</v>
      </c>
      <c r="L11" s="50">
        <f t="shared" si="1"/>
        <v>5</v>
      </c>
      <c r="M11" s="50">
        <f t="shared" si="1"/>
        <v>6</v>
      </c>
      <c r="N11" s="50">
        <f t="shared" si="1"/>
        <v>7</v>
      </c>
      <c r="O11" s="50">
        <f t="shared" si="1"/>
        <v>8</v>
      </c>
      <c r="P11" s="50">
        <f t="shared" si="1"/>
        <v>9</v>
      </c>
      <c r="Q11" s="50">
        <f t="shared" si="1"/>
        <v>10</v>
      </c>
      <c r="R11" s="50">
        <f t="shared" si="1"/>
        <v>11</v>
      </c>
      <c r="S11" s="53">
        <f t="shared" si="1"/>
        <v>12</v>
      </c>
    </row>
    <row r="12" spans="2:19" ht="12.75">
      <c r="B12" s="169"/>
      <c r="C12" s="18">
        <v>75</v>
      </c>
      <c r="D12" s="49">
        <f t="shared" si="1"/>
        <v>-4</v>
      </c>
      <c r="E12" s="50">
        <f t="shared" si="1"/>
        <v>-3</v>
      </c>
      <c r="F12" s="50">
        <f t="shared" si="1"/>
        <v>-2</v>
      </c>
      <c r="G12" s="50">
        <f t="shared" si="1"/>
        <v>-1</v>
      </c>
      <c r="H12" s="50">
        <f t="shared" si="1"/>
        <v>0</v>
      </c>
      <c r="I12" s="50">
        <f t="shared" si="1"/>
        <v>1</v>
      </c>
      <c r="J12" s="50">
        <f t="shared" si="1"/>
        <v>2</v>
      </c>
      <c r="K12" s="50">
        <f t="shared" si="1"/>
        <v>3</v>
      </c>
      <c r="L12" s="50">
        <f t="shared" si="1"/>
        <v>4</v>
      </c>
      <c r="M12" s="50">
        <f t="shared" si="1"/>
        <v>5</v>
      </c>
      <c r="N12" s="50">
        <f t="shared" si="1"/>
        <v>6</v>
      </c>
      <c r="O12" s="50">
        <f t="shared" si="1"/>
        <v>7</v>
      </c>
      <c r="P12" s="50">
        <f t="shared" si="1"/>
        <v>8</v>
      </c>
      <c r="Q12" s="50">
        <f t="shared" si="1"/>
        <v>9</v>
      </c>
      <c r="R12" s="50">
        <f t="shared" si="1"/>
        <v>10</v>
      </c>
      <c r="S12" s="53">
        <f t="shared" si="1"/>
        <v>11</v>
      </c>
    </row>
    <row r="13" spans="2:19" ht="12.75">
      <c r="B13" s="169"/>
      <c r="C13" s="18">
        <v>76</v>
      </c>
      <c r="D13" s="49">
        <f t="shared" si="1"/>
        <v>-5</v>
      </c>
      <c r="E13" s="50">
        <f t="shared" si="1"/>
        <v>-4</v>
      </c>
      <c r="F13" s="50">
        <f t="shared" si="1"/>
        <v>-3</v>
      </c>
      <c r="G13" s="50">
        <f t="shared" si="1"/>
        <v>-2</v>
      </c>
      <c r="H13" s="50">
        <f t="shared" si="1"/>
        <v>-1</v>
      </c>
      <c r="I13" s="50">
        <f t="shared" si="1"/>
        <v>0</v>
      </c>
      <c r="J13" s="50">
        <f t="shared" si="1"/>
        <v>1</v>
      </c>
      <c r="K13" s="50">
        <f t="shared" si="1"/>
        <v>2</v>
      </c>
      <c r="L13" s="50">
        <f t="shared" si="1"/>
        <v>3</v>
      </c>
      <c r="M13" s="50">
        <f t="shared" si="1"/>
        <v>4</v>
      </c>
      <c r="N13" s="50">
        <f t="shared" si="1"/>
        <v>5</v>
      </c>
      <c r="O13" s="50">
        <f t="shared" si="1"/>
        <v>6</v>
      </c>
      <c r="P13" s="50">
        <f t="shared" si="1"/>
        <v>7</v>
      </c>
      <c r="Q13" s="50">
        <f t="shared" si="1"/>
        <v>8</v>
      </c>
      <c r="R13" s="50">
        <f t="shared" si="1"/>
        <v>9</v>
      </c>
      <c r="S13" s="53">
        <f t="shared" si="1"/>
        <v>10</v>
      </c>
    </row>
    <row r="14" spans="2:19" ht="12.75">
      <c r="B14" s="169"/>
      <c r="C14" s="18">
        <v>77</v>
      </c>
      <c r="D14" s="49">
        <f t="shared" si="1"/>
        <v>-6</v>
      </c>
      <c r="E14" s="50">
        <f t="shared" si="1"/>
        <v>-5</v>
      </c>
      <c r="F14" s="50">
        <f t="shared" si="1"/>
        <v>-4</v>
      </c>
      <c r="G14" s="50">
        <f t="shared" si="1"/>
        <v>-3</v>
      </c>
      <c r="H14" s="50">
        <f t="shared" si="1"/>
        <v>-2</v>
      </c>
      <c r="I14" s="50">
        <f t="shared" si="1"/>
        <v>-1</v>
      </c>
      <c r="J14" s="50">
        <f t="shared" si="1"/>
        <v>0</v>
      </c>
      <c r="K14" s="50">
        <f t="shared" si="1"/>
        <v>1</v>
      </c>
      <c r="L14" s="50">
        <f t="shared" si="1"/>
        <v>2</v>
      </c>
      <c r="M14" s="50">
        <f t="shared" si="1"/>
        <v>3</v>
      </c>
      <c r="N14" s="50">
        <f t="shared" si="1"/>
        <v>4</v>
      </c>
      <c r="O14" s="50">
        <f t="shared" si="1"/>
        <v>5</v>
      </c>
      <c r="P14" s="50">
        <f t="shared" si="1"/>
        <v>6</v>
      </c>
      <c r="Q14" s="50">
        <f t="shared" si="1"/>
        <v>7</v>
      </c>
      <c r="R14" s="50">
        <f t="shared" si="1"/>
        <v>8</v>
      </c>
      <c r="S14" s="53">
        <f t="shared" si="1"/>
        <v>9</v>
      </c>
    </row>
    <row r="15" spans="2:19" ht="12.75">
      <c r="B15" s="169"/>
      <c r="C15" s="18">
        <v>78</v>
      </c>
      <c r="D15" s="49">
        <f t="shared" si="1"/>
        <v>-7</v>
      </c>
      <c r="E15" s="50">
        <f t="shared" si="1"/>
        <v>-6</v>
      </c>
      <c r="F15" s="50">
        <f t="shared" si="1"/>
        <v>-5</v>
      </c>
      <c r="G15" s="50">
        <f t="shared" si="1"/>
        <v>-4</v>
      </c>
      <c r="H15" s="50">
        <f t="shared" si="1"/>
        <v>-3</v>
      </c>
      <c r="I15" s="50">
        <f t="shared" si="1"/>
        <v>-2</v>
      </c>
      <c r="J15" s="50">
        <f t="shared" si="1"/>
        <v>-1</v>
      </c>
      <c r="K15" s="50">
        <f t="shared" si="1"/>
        <v>0</v>
      </c>
      <c r="L15" s="50">
        <f t="shared" si="1"/>
        <v>1</v>
      </c>
      <c r="M15" s="50">
        <f t="shared" si="1"/>
        <v>2</v>
      </c>
      <c r="N15" s="50">
        <f t="shared" si="1"/>
        <v>3</v>
      </c>
      <c r="O15" s="50">
        <f t="shared" si="1"/>
        <v>4</v>
      </c>
      <c r="P15" s="50">
        <f t="shared" si="1"/>
        <v>5</v>
      </c>
      <c r="Q15" s="50">
        <f t="shared" si="1"/>
        <v>6</v>
      </c>
      <c r="R15" s="50">
        <f t="shared" si="1"/>
        <v>7</v>
      </c>
      <c r="S15" s="53">
        <f t="shared" si="1"/>
        <v>8</v>
      </c>
    </row>
    <row r="16" spans="3:19" ht="12.75">
      <c r="C16" s="18">
        <v>79</v>
      </c>
      <c r="D16" s="49">
        <f t="shared" si="1"/>
        <v>-8</v>
      </c>
      <c r="E16" s="50">
        <f t="shared" si="1"/>
        <v>-7</v>
      </c>
      <c r="F16" s="50">
        <f t="shared" si="1"/>
        <v>-6</v>
      </c>
      <c r="G16" s="50">
        <f t="shared" si="1"/>
        <v>-5</v>
      </c>
      <c r="H16" s="50">
        <f t="shared" si="1"/>
        <v>-4</v>
      </c>
      <c r="I16" s="50">
        <f t="shared" si="1"/>
        <v>-3</v>
      </c>
      <c r="J16" s="50">
        <f t="shared" si="1"/>
        <v>-2</v>
      </c>
      <c r="K16" s="50">
        <f t="shared" si="1"/>
        <v>-1</v>
      </c>
      <c r="L16" s="50">
        <f t="shared" si="1"/>
        <v>0</v>
      </c>
      <c r="M16" s="50">
        <f t="shared" si="1"/>
        <v>1</v>
      </c>
      <c r="N16" s="50">
        <f t="shared" si="1"/>
        <v>2</v>
      </c>
      <c r="O16" s="50">
        <f t="shared" si="1"/>
        <v>3</v>
      </c>
      <c r="P16" s="50">
        <f t="shared" si="1"/>
        <v>4</v>
      </c>
      <c r="Q16" s="50">
        <f t="shared" si="1"/>
        <v>5</v>
      </c>
      <c r="R16" s="50">
        <f t="shared" si="1"/>
        <v>6</v>
      </c>
      <c r="S16" s="53">
        <f t="shared" si="1"/>
        <v>7</v>
      </c>
    </row>
    <row r="17" spans="3:19" ht="12.75">
      <c r="C17" s="18">
        <v>80</v>
      </c>
      <c r="D17" s="49">
        <f t="shared" si="1"/>
        <v>-9</v>
      </c>
      <c r="E17" s="50">
        <f t="shared" si="1"/>
        <v>-8</v>
      </c>
      <c r="F17" s="50">
        <f t="shared" si="1"/>
        <v>-7</v>
      </c>
      <c r="G17" s="50">
        <f t="shared" si="1"/>
        <v>-6</v>
      </c>
      <c r="H17" s="50">
        <f t="shared" si="1"/>
        <v>-5</v>
      </c>
      <c r="I17" s="50">
        <f t="shared" si="1"/>
        <v>-4</v>
      </c>
      <c r="J17" s="50">
        <f t="shared" si="1"/>
        <v>-3</v>
      </c>
      <c r="K17" s="50">
        <f t="shared" si="1"/>
        <v>-2</v>
      </c>
      <c r="L17" s="50">
        <f t="shared" si="1"/>
        <v>-1</v>
      </c>
      <c r="M17" s="50">
        <f t="shared" si="1"/>
        <v>0</v>
      </c>
      <c r="N17" s="50">
        <f t="shared" si="1"/>
        <v>1</v>
      </c>
      <c r="O17" s="50">
        <f t="shared" si="1"/>
        <v>2</v>
      </c>
      <c r="P17" s="50">
        <f t="shared" si="1"/>
        <v>3</v>
      </c>
      <c r="Q17" s="50">
        <f t="shared" si="1"/>
        <v>4</v>
      </c>
      <c r="R17" s="50">
        <f t="shared" si="1"/>
        <v>5</v>
      </c>
      <c r="S17" s="53">
        <f t="shared" si="1"/>
        <v>6</v>
      </c>
    </row>
    <row r="18" spans="3:19" ht="12.75">
      <c r="C18" s="18">
        <v>81</v>
      </c>
      <c r="D18" s="49">
        <f aca="true" t="shared" si="2" ref="D18:S23">D$6-($C18-66)</f>
        <v>-10</v>
      </c>
      <c r="E18" s="50">
        <f t="shared" si="2"/>
        <v>-9</v>
      </c>
      <c r="F18" s="50">
        <f t="shared" si="2"/>
        <v>-8</v>
      </c>
      <c r="G18" s="50">
        <f t="shared" si="2"/>
        <v>-7</v>
      </c>
      <c r="H18" s="50">
        <f t="shared" si="2"/>
        <v>-6</v>
      </c>
      <c r="I18" s="50">
        <f t="shared" si="2"/>
        <v>-5</v>
      </c>
      <c r="J18" s="50">
        <f t="shared" si="2"/>
        <v>-4</v>
      </c>
      <c r="K18" s="50">
        <f t="shared" si="2"/>
        <v>-3</v>
      </c>
      <c r="L18" s="50">
        <f t="shared" si="2"/>
        <v>-2</v>
      </c>
      <c r="M18" s="50">
        <f t="shared" si="2"/>
        <v>-1</v>
      </c>
      <c r="N18" s="50">
        <f t="shared" si="2"/>
        <v>0</v>
      </c>
      <c r="O18" s="50">
        <f t="shared" si="2"/>
        <v>1</v>
      </c>
      <c r="P18" s="50">
        <f t="shared" si="2"/>
        <v>2</v>
      </c>
      <c r="Q18" s="50">
        <f t="shared" si="2"/>
        <v>3</v>
      </c>
      <c r="R18" s="50">
        <f t="shared" si="2"/>
        <v>4</v>
      </c>
      <c r="S18" s="53">
        <f t="shared" si="2"/>
        <v>5</v>
      </c>
    </row>
    <row r="19" spans="3:19" ht="12.75">
      <c r="C19" s="18">
        <v>82</v>
      </c>
      <c r="D19" s="49">
        <f t="shared" si="2"/>
        <v>-11</v>
      </c>
      <c r="E19" s="50">
        <f t="shared" si="2"/>
        <v>-10</v>
      </c>
      <c r="F19" s="50">
        <f t="shared" si="2"/>
        <v>-9</v>
      </c>
      <c r="G19" s="50">
        <f t="shared" si="2"/>
        <v>-8</v>
      </c>
      <c r="H19" s="50">
        <f t="shared" si="2"/>
        <v>-7</v>
      </c>
      <c r="I19" s="50">
        <f t="shared" si="2"/>
        <v>-6</v>
      </c>
      <c r="J19" s="50">
        <f t="shared" si="2"/>
        <v>-5</v>
      </c>
      <c r="K19" s="50">
        <f t="shared" si="2"/>
        <v>-4</v>
      </c>
      <c r="L19" s="50">
        <f t="shared" si="2"/>
        <v>-3</v>
      </c>
      <c r="M19" s="50">
        <f t="shared" si="2"/>
        <v>-2</v>
      </c>
      <c r="N19" s="50">
        <f t="shared" si="2"/>
        <v>-1</v>
      </c>
      <c r="O19" s="50">
        <f t="shared" si="2"/>
        <v>0</v>
      </c>
      <c r="P19" s="50">
        <f t="shared" si="2"/>
        <v>1</v>
      </c>
      <c r="Q19" s="50">
        <f t="shared" si="2"/>
        <v>2</v>
      </c>
      <c r="R19" s="50">
        <f t="shared" si="2"/>
        <v>3</v>
      </c>
      <c r="S19" s="53">
        <f t="shared" si="2"/>
        <v>4</v>
      </c>
    </row>
    <row r="20" spans="3:19" ht="12.75">
      <c r="C20" s="18">
        <v>83</v>
      </c>
      <c r="D20" s="49">
        <f t="shared" si="2"/>
        <v>-12</v>
      </c>
      <c r="E20" s="50">
        <f t="shared" si="2"/>
        <v>-11</v>
      </c>
      <c r="F20" s="50">
        <f t="shared" si="2"/>
        <v>-10</v>
      </c>
      <c r="G20" s="50">
        <f t="shared" si="2"/>
        <v>-9</v>
      </c>
      <c r="H20" s="50">
        <f t="shared" si="2"/>
        <v>-8</v>
      </c>
      <c r="I20" s="50">
        <f t="shared" si="2"/>
        <v>-7</v>
      </c>
      <c r="J20" s="50">
        <f t="shared" si="2"/>
        <v>-6</v>
      </c>
      <c r="K20" s="50">
        <f t="shared" si="2"/>
        <v>-5</v>
      </c>
      <c r="L20" s="50">
        <f t="shared" si="2"/>
        <v>-4</v>
      </c>
      <c r="M20" s="50">
        <f t="shared" si="2"/>
        <v>-3</v>
      </c>
      <c r="N20" s="50">
        <f t="shared" si="2"/>
        <v>-2</v>
      </c>
      <c r="O20" s="50">
        <f t="shared" si="2"/>
        <v>-1</v>
      </c>
      <c r="P20" s="50">
        <f t="shared" si="2"/>
        <v>0</v>
      </c>
      <c r="Q20" s="50">
        <f t="shared" si="2"/>
        <v>1</v>
      </c>
      <c r="R20" s="50">
        <f t="shared" si="2"/>
        <v>2</v>
      </c>
      <c r="S20" s="53">
        <f t="shared" si="2"/>
        <v>3</v>
      </c>
    </row>
    <row r="21" spans="3:19" ht="12.75">
      <c r="C21" s="18">
        <v>84</v>
      </c>
      <c r="D21" s="49">
        <f t="shared" si="2"/>
        <v>-13</v>
      </c>
      <c r="E21" s="50">
        <f t="shared" si="2"/>
        <v>-12</v>
      </c>
      <c r="F21" s="50">
        <f t="shared" si="2"/>
        <v>-11</v>
      </c>
      <c r="G21" s="50">
        <f t="shared" si="2"/>
        <v>-10</v>
      </c>
      <c r="H21" s="50">
        <f t="shared" si="2"/>
        <v>-9</v>
      </c>
      <c r="I21" s="50">
        <f t="shared" si="2"/>
        <v>-8</v>
      </c>
      <c r="J21" s="50">
        <f t="shared" si="2"/>
        <v>-7</v>
      </c>
      <c r="K21" s="50">
        <f t="shared" si="2"/>
        <v>-6</v>
      </c>
      <c r="L21" s="50">
        <f t="shared" si="2"/>
        <v>-5</v>
      </c>
      <c r="M21" s="50">
        <f t="shared" si="2"/>
        <v>-4</v>
      </c>
      <c r="N21" s="50">
        <f t="shared" si="2"/>
        <v>-3</v>
      </c>
      <c r="O21" s="50">
        <f t="shared" si="2"/>
        <v>-2</v>
      </c>
      <c r="P21" s="50">
        <f t="shared" si="2"/>
        <v>-1</v>
      </c>
      <c r="Q21" s="50">
        <f t="shared" si="2"/>
        <v>0</v>
      </c>
      <c r="R21" s="50">
        <f t="shared" si="2"/>
        <v>1</v>
      </c>
      <c r="S21" s="53">
        <f t="shared" si="2"/>
        <v>2</v>
      </c>
    </row>
    <row r="22" spans="3:19" ht="12.75">
      <c r="C22" s="18">
        <v>85</v>
      </c>
      <c r="D22" s="49">
        <f t="shared" si="2"/>
        <v>-14</v>
      </c>
      <c r="E22" s="50">
        <f t="shared" si="2"/>
        <v>-13</v>
      </c>
      <c r="F22" s="50">
        <f t="shared" si="2"/>
        <v>-12</v>
      </c>
      <c r="G22" s="50">
        <f t="shared" si="2"/>
        <v>-11</v>
      </c>
      <c r="H22" s="50">
        <f t="shared" si="2"/>
        <v>-10</v>
      </c>
      <c r="I22" s="50">
        <f t="shared" si="2"/>
        <v>-9</v>
      </c>
      <c r="J22" s="50">
        <f t="shared" si="2"/>
        <v>-8</v>
      </c>
      <c r="K22" s="50">
        <f t="shared" si="2"/>
        <v>-7</v>
      </c>
      <c r="L22" s="50">
        <f t="shared" si="2"/>
        <v>-6</v>
      </c>
      <c r="M22" s="50">
        <f t="shared" si="2"/>
        <v>-5</v>
      </c>
      <c r="N22" s="50">
        <f t="shared" si="2"/>
        <v>-4</v>
      </c>
      <c r="O22" s="50">
        <f t="shared" si="2"/>
        <v>-3</v>
      </c>
      <c r="P22" s="50">
        <f t="shared" si="2"/>
        <v>-2</v>
      </c>
      <c r="Q22" s="50">
        <f t="shared" si="2"/>
        <v>-1</v>
      </c>
      <c r="R22" s="50">
        <f t="shared" si="2"/>
        <v>0</v>
      </c>
      <c r="S22" s="53">
        <f t="shared" si="2"/>
        <v>1</v>
      </c>
    </row>
    <row r="23" spans="3:19" ht="13.5" thickBot="1">
      <c r="C23" s="18">
        <v>86</v>
      </c>
      <c r="D23" s="54">
        <f t="shared" si="2"/>
        <v>-15</v>
      </c>
      <c r="E23" s="55">
        <f t="shared" si="2"/>
        <v>-14</v>
      </c>
      <c r="F23" s="55">
        <f t="shared" si="2"/>
        <v>-13</v>
      </c>
      <c r="G23" s="55">
        <f t="shared" si="2"/>
        <v>-12</v>
      </c>
      <c r="H23" s="55">
        <f t="shared" si="2"/>
        <v>-11</v>
      </c>
      <c r="I23" s="55">
        <f t="shared" si="2"/>
        <v>-10</v>
      </c>
      <c r="J23" s="55">
        <f t="shared" si="2"/>
        <v>-9</v>
      </c>
      <c r="K23" s="55">
        <f t="shared" si="2"/>
        <v>-8</v>
      </c>
      <c r="L23" s="55">
        <f t="shared" si="2"/>
        <v>-7</v>
      </c>
      <c r="M23" s="55">
        <f t="shared" si="2"/>
        <v>-6</v>
      </c>
      <c r="N23" s="55">
        <f t="shared" si="2"/>
        <v>-5</v>
      </c>
      <c r="O23" s="55">
        <f t="shared" si="2"/>
        <v>-4</v>
      </c>
      <c r="P23" s="55">
        <f t="shared" si="2"/>
        <v>-3</v>
      </c>
      <c r="Q23" s="55">
        <f t="shared" si="2"/>
        <v>-2</v>
      </c>
      <c r="R23" s="55">
        <f t="shared" si="2"/>
        <v>-1</v>
      </c>
      <c r="S23" s="56">
        <f t="shared" si="2"/>
        <v>0</v>
      </c>
    </row>
    <row r="26" spans="2:9" ht="12.75">
      <c r="B26" t="s">
        <v>122</v>
      </c>
      <c r="H26" s="57">
        <f>BINOMDIST(12,20,0.35,FALSE)</f>
        <v>0.013564085376714463</v>
      </c>
      <c r="I26" s="36" t="str">
        <f>showformula(H26)</f>
        <v>=BINOMDIST(12,20,0.35,FALSE)</v>
      </c>
    </row>
    <row r="28" ht="12.75">
      <c r="B28" t="s">
        <v>123</v>
      </c>
    </row>
    <row r="29" spans="2:8" ht="12.75">
      <c r="B29" t="s">
        <v>124</v>
      </c>
      <c r="G29" s="57">
        <f>0.2/0.65</f>
        <v>0.3076923076923077</v>
      </c>
      <c r="H29" s="36" t="str">
        <f>showformula(G29)</f>
        <v>=0.2/0.65</v>
      </c>
    </row>
    <row r="31" spans="2:9" ht="12.75">
      <c r="B31" t="s">
        <v>125</v>
      </c>
      <c r="H31" s="57">
        <f>BINOMDIST(6,8,G29,FALSE)</f>
        <v>0.011388228689746748</v>
      </c>
      <c r="I31" s="36" t="str">
        <f>showformula(H31)</f>
        <v>=BINOMDIST(6,8,G29,FALSE)</v>
      </c>
    </row>
    <row r="33" spans="2:12" ht="12.75">
      <c r="B33" t="s">
        <v>126</v>
      </c>
      <c r="L33" s="131" t="s">
        <v>144</v>
      </c>
    </row>
    <row r="34" spans="2:13" ht="12.75">
      <c r="B34" s="58" t="s">
        <v>127</v>
      </c>
      <c r="H34" s="57">
        <f>H26*H31</f>
        <v>0.00015447090623727397</v>
      </c>
      <c r="I34" s="36" t="str">
        <f>showformula(H34)</f>
        <v>=H26*H31</v>
      </c>
      <c r="L34" s="129">
        <f>MULTINOMIAL(6,2,12)*(0.2)^6*(0.45)^2*(0.35)^12</f>
        <v>0.00015447090623727378</v>
      </c>
      <c r="M34" s="130" t="str">
        <f>showformula(L34)</f>
        <v>=MULTINOMIAL(6,2,12)*(0.2)^6*(0.45)^2*(0.35)^12</v>
      </c>
    </row>
    <row r="36" ht="12.75">
      <c r="B36" t="s">
        <v>128</v>
      </c>
    </row>
    <row r="38" spans="3:19" ht="12.75">
      <c r="C38" s="1"/>
      <c r="D38" s="1">
        <v>5</v>
      </c>
      <c r="E38" s="1">
        <v>6</v>
      </c>
      <c r="F38" s="42">
        <v>7</v>
      </c>
      <c r="G38" s="1">
        <v>8</v>
      </c>
      <c r="H38" s="1">
        <v>9</v>
      </c>
      <c r="I38" s="1">
        <v>10</v>
      </c>
      <c r="J38" s="1">
        <v>11</v>
      </c>
      <c r="K38" s="43">
        <v>12</v>
      </c>
      <c r="L38" s="1">
        <v>13</v>
      </c>
      <c r="M38" s="1">
        <v>14</v>
      </c>
      <c r="N38" s="1">
        <v>15</v>
      </c>
      <c r="O38" s="1">
        <v>16</v>
      </c>
      <c r="P38" s="1">
        <v>17</v>
      </c>
      <c r="Q38" s="1">
        <v>18</v>
      </c>
      <c r="R38" s="1">
        <v>19</v>
      </c>
      <c r="S38" s="1">
        <v>20</v>
      </c>
    </row>
    <row r="39" spans="3:19" ht="13.5" thickBot="1">
      <c r="C39" s="1"/>
      <c r="D39" s="59">
        <f aca="true" t="shared" si="3" ref="D39:S39">BINOMDIST(D38,20,0.35,FALSE)</f>
        <v>0.1271991857097322</v>
      </c>
      <c r="E39" s="59">
        <f t="shared" si="3"/>
        <v>0.17122967307079331</v>
      </c>
      <c r="F39" s="60">
        <f t="shared" si="3"/>
        <v>0.18440118638393124</v>
      </c>
      <c r="G39" s="59">
        <f t="shared" si="3"/>
        <v>0.16135103808593984</v>
      </c>
      <c r="H39" s="59">
        <f t="shared" si="3"/>
        <v>0.11584177093349528</v>
      </c>
      <c r="I39" s="59">
        <f t="shared" si="3"/>
        <v>0.06861397201445489</v>
      </c>
      <c r="J39" s="59">
        <f t="shared" si="3"/>
        <v>0.03358725902805482</v>
      </c>
      <c r="K39" s="59">
        <f t="shared" si="3"/>
        <v>0.013564085376714463</v>
      </c>
      <c r="L39" s="59">
        <f t="shared" si="3"/>
        <v>0.004494608172165734</v>
      </c>
      <c r="M39" s="59">
        <f t="shared" si="3"/>
        <v>0.0012100868155830826</v>
      </c>
      <c r="N39" s="59">
        <f t="shared" si="3"/>
        <v>0.0002606340833563567</v>
      </c>
      <c r="O39" s="59">
        <f t="shared" si="3"/>
        <v>4.385669671861763E-05</v>
      </c>
      <c r="P39" s="59">
        <f t="shared" si="3"/>
        <v>5.5565045616348105E-06</v>
      </c>
      <c r="Q39" s="59">
        <f t="shared" si="3"/>
        <v>4.986606657877388E-07</v>
      </c>
      <c r="R39" s="59">
        <f t="shared" si="3"/>
        <v>2.8264167291612782E-08</v>
      </c>
      <c r="S39" s="59">
        <f t="shared" si="3"/>
        <v>7.609583501588035E-10</v>
      </c>
    </row>
    <row r="40" spans="3:19" ht="12.75">
      <c r="C40" s="18">
        <v>71</v>
      </c>
      <c r="D40" s="61">
        <f aca="true" t="shared" si="4" ref="D40:S40">IF(OR(D8&lt;0,D8&gt;D$7),0,BINOMDIST(D8,D$7,$G$29,FALSE)*D$39)</f>
        <v>0.0005116484797888502</v>
      </c>
      <c r="E40" s="62">
        <f t="shared" si="4"/>
        <v>0.0061903149406552175</v>
      </c>
      <c r="F40" s="63">
        <f t="shared" si="4"/>
        <v>0.02384417606770901</v>
      </c>
      <c r="G40" s="62">
        <f t="shared" si="4"/>
        <v>0.03777780981920973</v>
      </c>
      <c r="H40" s="62">
        <f t="shared" si="4"/>
        <v>0.026117991973774648</v>
      </c>
      <c r="I40" s="62">
        <f t="shared" si="4"/>
        <v>0.007583891002755301</v>
      </c>
      <c r="J40" s="62">
        <f t="shared" si="4"/>
        <v>0.0007944218035059801</v>
      </c>
      <c r="K40" s="62">
        <f t="shared" si="4"/>
        <v>1.961535317298718E-05</v>
      </c>
      <c r="L40" s="62">
        <f t="shared" si="4"/>
        <v>0</v>
      </c>
      <c r="M40" s="62">
        <f t="shared" si="4"/>
        <v>0</v>
      </c>
      <c r="N40" s="62">
        <f t="shared" si="4"/>
        <v>0</v>
      </c>
      <c r="O40" s="62">
        <f t="shared" si="4"/>
        <v>0</v>
      </c>
      <c r="P40" s="62">
        <f t="shared" si="4"/>
        <v>0</v>
      </c>
      <c r="Q40" s="62">
        <f t="shared" si="4"/>
        <v>0</v>
      </c>
      <c r="R40" s="62">
        <f t="shared" si="4"/>
        <v>0</v>
      </c>
      <c r="S40" s="64">
        <f t="shared" si="4"/>
        <v>0</v>
      </c>
    </row>
    <row r="41" spans="3:19" ht="12.75">
      <c r="C41" s="48">
        <v>72</v>
      </c>
      <c r="D41" s="65">
        <f aca="true" t="shared" si="5" ref="D41:S41">IF(OR(D9&lt;0,D9&gt;D$7),0,BINOMDIST(D9,D$7,$G$29,FALSE)*D$39)</f>
        <v>0</v>
      </c>
      <c r="E41" s="66">
        <f t="shared" si="5"/>
        <v>0.000994872044033875</v>
      </c>
      <c r="F41" s="67">
        <f t="shared" si="5"/>
        <v>0.008941566025390877</v>
      </c>
      <c r="G41" s="66">
        <f t="shared" si="5"/>
        <v>0.025500021627966562</v>
      </c>
      <c r="H41" s="66">
        <f t="shared" si="5"/>
        <v>0.02938274097049647</v>
      </c>
      <c r="I41" s="66">
        <f t="shared" si="5"/>
        <v>0.014219795630166194</v>
      </c>
      <c r="J41" s="66">
        <f t="shared" si="5"/>
        <v>0.002681173586832683</v>
      </c>
      <c r="K41" s="68">
        <f t="shared" si="5"/>
        <v>0.00015447090623727397</v>
      </c>
      <c r="L41" s="66">
        <f t="shared" si="5"/>
        <v>1.1735681385547853E-06</v>
      </c>
      <c r="M41" s="66">
        <f t="shared" si="5"/>
        <v>0</v>
      </c>
      <c r="N41" s="66">
        <f t="shared" si="5"/>
        <v>0</v>
      </c>
      <c r="O41" s="66">
        <f t="shared" si="5"/>
        <v>0</v>
      </c>
      <c r="P41" s="66">
        <f t="shared" si="5"/>
        <v>0</v>
      </c>
      <c r="Q41" s="66">
        <f t="shared" si="5"/>
        <v>0</v>
      </c>
      <c r="R41" s="66">
        <f t="shared" si="5"/>
        <v>0</v>
      </c>
      <c r="S41" s="69">
        <f t="shared" si="5"/>
        <v>0</v>
      </c>
    </row>
    <row r="42" spans="3:19" ht="12.75">
      <c r="C42" s="18">
        <v>73</v>
      </c>
      <c r="D42" s="65">
        <f aca="true" t="shared" si="6" ref="D42:S42">IF(OR(D10&lt;0,D10&gt;D$7),0,BINOMDIST(D10,D$7,$G$29,FALSE)*D$39)</f>
        <v>0</v>
      </c>
      <c r="E42" s="66">
        <f t="shared" si="6"/>
        <v>0</v>
      </c>
      <c r="F42" s="66">
        <f t="shared" si="6"/>
        <v>0.0015475787351638063</v>
      </c>
      <c r="G42" s="66">
        <f t="shared" si="6"/>
        <v>0.010431827029622687</v>
      </c>
      <c r="H42" s="66">
        <f t="shared" si="6"/>
        <v>0.02203705572787235</v>
      </c>
      <c r="I42" s="66">
        <f t="shared" si="6"/>
        <v>0.018282594381642245</v>
      </c>
      <c r="J42" s="66">
        <f t="shared" si="6"/>
        <v>0.006032640570373532</v>
      </c>
      <c r="K42" s="66">
        <f t="shared" si="6"/>
        <v>0.0006951190780677326</v>
      </c>
      <c r="L42" s="66">
        <f t="shared" si="6"/>
        <v>1.848369818223788E-05</v>
      </c>
      <c r="M42" s="66">
        <f t="shared" si="6"/>
        <v>0</v>
      </c>
      <c r="N42" s="66">
        <f t="shared" si="6"/>
        <v>0</v>
      </c>
      <c r="O42" s="66">
        <f t="shared" si="6"/>
        <v>0</v>
      </c>
      <c r="P42" s="66">
        <f t="shared" si="6"/>
        <v>0</v>
      </c>
      <c r="Q42" s="66">
        <f t="shared" si="6"/>
        <v>0</v>
      </c>
      <c r="R42" s="66">
        <f t="shared" si="6"/>
        <v>0</v>
      </c>
      <c r="S42" s="69">
        <f t="shared" si="6"/>
        <v>0</v>
      </c>
    </row>
    <row r="43" spans="3:19" ht="12.75">
      <c r="C43" s="18">
        <v>74</v>
      </c>
      <c r="D43" s="65">
        <f aca="true" t="shared" si="7" ref="D43:S43">IF(OR(D11&lt;0,D11&gt;D$7),0,BINOMDIST(D11,D$7,$G$29,FALSE)*D$39)</f>
        <v>0</v>
      </c>
      <c r="E43" s="66">
        <f t="shared" si="7"/>
        <v>0</v>
      </c>
      <c r="F43" s="66">
        <f t="shared" si="7"/>
        <v>0</v>
      </c>
      <c r="G43" s="66">
        <f t="shared" si="7"/>
        <v>0.001955967568054255</v>
      </c>
      <c r="H43" s="66">
        <f t="shared" si="7"/>
        <v>0.009916675077542547</v>
      </c>
      <c r="I43" s="66">
        <f t="shared" si="7"/>
        <v>0.015425939009510654</v>
      </c>
      <c r="J43" s="66">
        <f t="shared" si="7"/>
        <v>0.009048960855560296</v>
      </c>
      <c r="K43" s="66">
        <f t="shared" si="7"/>
        <v>0.0019550224070654983</v>
      </c>
      <c r="L43" s="66">
        <f t="shared" si="7"/>
        <v>0.0001247649627301058</v>
      </c>
      <c r="M43" s="66">
        <f t="shared" si="7"/>
        <v>1.0268721212354388E-06</v>
      </c>
      <c r="N43" s="66">
        <f t="shared" si="7"/>
        <v>0</v>
      </c>
      <c r="O43" s="66">
        <f t="shared" si="7"/>
        <v>0</v>
      </c>
      <c r="P43" s="66">
        <f t="shared" si="7"/>
        <v>0</v>
      </c>
      <c r="Q43" s="66">
        <f t="shared" si="7"/>
        <v>0</v>
      </c>
      <c r="R43" s="66">
        <f t="shared" si="7"/>
        <v>0</v>
      </c>
      <c r="S43" s="69">
        <f t="shared" si="7"/>
        <v>0</v>
      </c>
    </row>
    <row r="44" spans="3:19" ht="12.75">
      <c r="C44" s="18">
        <v>75</v>
      </c>
      <c r="D44" s="65">
        <f aca="true" t="shared" si="8" ref="D44:S44">IF(OR(D12&lt;0,D12&gt;D$7),0,BINOMDIST(D12,D$7,$G$29,FALSE)*D$39)</f>
        <v>0</v>
      </c>
      <c r="E44" s="66">
        <f t="shared" si="8"/>
        <v>0</v>
      </c>
      <c r="F44" s="66">
        <f t="shared" si="8"/>
        <v>0</v>
      </c>
      <c r="G44" s="66">
        <f t="shared" si="8"/>
        <v>0</v>
      </c>
      <c r="H44" s="66">
        <f t="shared" si="8"/>
        <v>0.0020284108113155235</v>
      </c>
      <c r="I44" s="66">
        <f t="shared" si="8"/>
        <v>0.0077129695047553236</v>
      </c>
      <c r="J44" s="66">
        <f t="shared" si="8"/>
        <v>0.008725783682147431</v>
      </c>
      <c r="K44" s="66">
        <f t="shared" si="8"/>
        <v>0.0035190403327178973</v>
      </c>
      <c r="L44" s="66">
        <f t="shared" si="8"/>
        <v>0.0004678686102378969</v>
      </c>
      <c r="M44" s="66">
        <f t="shared" si="8"/>
        <v>1.3862773636678439E-05</v>
      </c>
      <c r="N44" s="66">
        <f t="shared" si="8"/>
        <v>0</v>
      </c>
      <c r="O44" s="66">
        <f t="shared" si="8"/>
        <v>0</v>
      </c>
      <c r="P44" s="66">
        <f t="shared" si="8"/>
        <v>0</v>
      </c>
      <c r="Q44" s="66">
        <f t="shared" si="8"/>
        <v>0</v>
      </c>
      <c r="R44" s="66">
        <f t="shared" si="8"/>
        <v>0</v>
      </c>
      <c r="S44" s="69">
        <f t="shared" si="8"/>
        <v>0</v>
      </c>
    </row>
    <row r="45" spans="3:19" ht="12.75">
      <c r="C45" s="18">
        <v>76</v>
      </c>
      <c r="D45" s="65">
        <f aca="true" t="shared" si="9" ref="D45:S45">IF(OR(D13&lt;0,D13&gt;D$7),0,BINOMDIST(D13,D$7,$G$29,FALSE)*D$39)</f>
        <v>0</v>
      </c>
      <c r="E45" s="66">
        <f t="shared" si="9"/>
        <v>0</v>
      </c>
      <c r="F45" s="66">
        <f t="shared" si="9"/>
        <v>0</v>
      </c>
      <c r="G45" s="66">
        <f t="shared" si="9"/>
        <v>0</v>
      </c>
      <c r="H45" s="66">
        <f t="shared" si="9"/>
        <v>0</v>
      </c>
      <c r="I45" s="66">
        <f t="shared" si="9"/>
        <v>0.0017354181385699475</v>
      </c>
      <c r="J45" s="66">
        <f t="shared" si="9"/>
        <v>0.004908253321207929</v>
      </c>
      <c r="K45" s="66">
        <f t="shared" si="9"/>
        <v>0.0039589203743076356</v>
      </c>
      <c r="L45" s="66">
        <f t="shared" si="9"/>
        <v>0.0010527043730352674</v>
      </c>
      <c r="M45" s="66">
        <f t="shared" si="9"/>
        <v>7.797810170631616E-05</v>
      </c>
      <c r="N45" s="66">
        <f t="shared" si="9"/>
        <v>7.188104848648079E-07</v>
      </c>
      <c r="O45" s="66">
        <f t="shared" si="9"/>
        <v>0</v>
      </c>
      <c r="P45" s="66">
        <f t="shared" si="9"/>
        <v>0</v>
      </c>
      <c r="Q45" s="66">
        <f t="shared" si="9"/>
        <v>0</v>
      </c>
      <c r="R45" s="66">
        <f t="shared" si="9"/>
        <v>0</v>
      </c>
      <c r="S45" s="69">
        <f t="shared" si="9"/>
        <v>0</v>
      </c>
    </row>
    <row r="46" spans="3:19" ht="12.75">
      <c r="C46" s="18">
        <v>77</v>
      </c>
      <c r="D46" s="65">
        <f aca="true" t="shared" si="10" ref="D46:S46">IF(OR(D14&lt;0,D14&gt;D$7),0,BINOMDIST(D14,D$7,$G$29,FALSE)*D$39)</f>
        <v>0</v>
      </c>
      <c r="E46" s="66">
        <f t="shared" si="10"/>
        <v>0</v>
      </c>
      <c r="F46" s="66">
        <f t="shared" si="10"/>
        <v>0</v>
      </c>
      <c r="G46" s="66">
        <f t="shared" si="10"/>
        <v>0</v>
      </c>
      <c r="H46" s="66">
        <f t="shared" si="10"/>
        <v>0</v>
      </c>
      <c r="I46" s="66">
        <f t="shared" si="10"/>
        <v>0</v>
      </c>
      <c r="J46" s="66">
        <f t="shared" si="10"/>
        <v>0.0012270633303019824</v>
      </c>
      <c r="K46" s="66">
        <f t="shared" si="10"/>
        <v>0.0025450202406263364</v>
      </c>
      <c r="L46" s="66">
        <f t="shared" si="10"/>
        <v>0.0014211509035976107</v>
      </c>
      <c r="M46" s="66">
        <f t="shared" si="10"/>
        <v>0.00023393430511894835</v>
      </c>
      <c r="N46" s="66">
        <f t="shared" si="10"/>
        <v>8.0866179547291E-06</v>
      </c>
      <c r="O46" s="66">
        <f t="shared" si="10"/>
        <v>0</v>
      </c>
      <c r="P46" s="66">
        <f t="shared" si="10"/>
        <v>0</v>
      </c>
      <c r="Q46" s="66">
        <f t="shared" si="10"/>
        <v>0</v>
      </c>
      <c r="R46" s="66">
        <f t="shared" si="10"/>
        <v>0</v>
      </c>
      <c r="S46" s="69">
        <f t="shared" si="10"/>
        <v>0</v>
      </c>
    </row>
    <row r="47" spans="3:19" ht="12.75">
      <c r="C47" s="18">
        <v>78</v>
      </c>
      <c r="D47" s="65">
        <f aca="true" t="shared" si="11" ref="D47:S47">IF(OR(D15&lt;0,D15&gt;D$7),0,BINOMDIST(D15,D$7,$G$29,FALSE)*D$39)</f>
        <v>0</v>
      </c>
      <c r="E47" s="66">
        <f t="shared" si="11"/>
        <v>0</v>
      </c>
      <c r="F47" s="66">
        <f t="shared" si="11"/>
        <v>0</v>
      </c>
      <c r="G47" s="66">
        <f t="shared" si="11"/>
        <v>0</v>
      </c>
      <c r="H47" s="66">
        <f t="shared" si="11"/>
        <v>0</v>
      </c>
      <c r="I47" s="66">
        <f t="shared" si="11"/>
        <v>0</v>
      </c>
      <c r="J47" s="66">
        <f t="shared" si="11"/>
        <v>0</v>
      </c>
      <c r="K47" s="66">
        <f t="shared" si="11"/>
        <v>0.0007157869426761573</v>
      </c>
      <c r="L47" s="66">
        <f t="shared" si="11"/>
        <v>0.001065863177698208</v>
      </c>
      <c r="M47" s="66">
        <f t="shared" si="11"/>
        <v>0.00039476413988822544</v>
      </c>
      <c r="N47" s="66">
        <f t="shared" si="11"/>
        <v>3.638978079628091E-05</v>
      </c>
      <c r="O47" s="66">
        <f t="shared" si="11"/>
        <v>3.930994839104412E-07</v>
      </c>
      <c r="P47" s="66">
        <f t="shared" si="11"/>
        <v>0</v>
      </c>
      <c r="Q47" s="66">
        <f t="shared" si="11"/>
        <v>0</v>
      </c>
      <c r="R47" s="66">
        <f t="shared" si="11"/>
        <v>0</v>
      </c>
      <c r="S47" s="69">
        <f t="shared" si="11"/>
        <v>0</v>
      </c>
    </row>
    <row r="48" spans="3:19" ht="12.75">
      <c r="C48" s="18">
        <v>79</v>
      </c>
      <c r="D48" s="65">
        <f aca="true" t="shared" si="12" ref="D48:S48">IF(OR(D16&lt;0,D16&gt;D$7),0,BINOMDIST(D16,D$7,$G$29,FALSE)*D$39)</f>
        <v>0</v>
      </c>
      <c r="E48" s="66">
        <f t="shared" si="12"/>
        <v>0</v>
      </c>
      <c r="F48" s="66">
        <f t="shared" si="12"/>
        <v>0</v>
      </c>
      <c r="G48" s="66">
        <f t="shared" si="12"/>
        <v>0</v>
      </c>
      <c r="H48" s="66">
        <f t="shared" si="12"/>
        <v>0</v>
      </c>
      <c r="I48" s="66">
        <f t="shared" si="12"/>
        <v>0</v>
      </c>
      <c r="J48" s="66">
        <f t="shared" si="12"/>
        <v>0</v>
      </c>
      <c r="K48" s="66">
        <f t="shared" si="12"/>
        <v>0</v>
      </c>
      <c r="L48" s="66">
        <f t="shared" si="12"/>
        <v>0.00034259887854585255</v>
      </c>
      <c r="M48" s="66">
        <f t="shared" si="12"/>
        <v>0.0003552877258994028</v>
      </c>
      <c r="N48" s="66">
        <f t="shared" si="12"/>
        <v>8.187700679163205E-05</v>
      </c>
      <c r="O48" s="66">
        <f t="shared" si="12"/>
        <v>3.5378953551939704E-06</v>
      </c>
      <c r="P48" s="66">
        <f t="shared" si="12"/>
        <v>0</v>
      </c>
      <c r="Q48" s="66">
        <f t="shared" si="12"/>
        <v>0</v>
      </c>
      <c r="R48" s="66">
        <f t="shared" si="12"/>
        <v>0</v>
      </c>
      <c r="S48" s="69">
        <f t="shared" si="12"/>
        <v>0</v>
      </c>
    </row>
    <row r="49" spans="3:19" ht="12.75">
      <c r="C49" s="18">
        <v>80</v>
      </c>
      <c r="D49" s="65">
        <f aca="true" t="shared" si="13" ref="D49:S49">IF(OR(D17&lt;0,D17&gt;D$7),0,BINOMDIST(D17,D$7,$G$29,FALSE)*D$39)</f>
        <v>0</v>
      </c>
      <c r="E49" s="66">
        <f t="shared" si="13"/>
        <v>0</v>
      </c>
      <c r="F49" s="66">
        <f t="shared" si="13"/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0.00013323289721227607</v>
      </c>
      <c r="N49" s="66">
        <f t="shared" si="13"/>
        <v>9.211163264058608E-05</v>
      </c>
      <c r="O49" s="66">
        <f t="shared" si="13"/>
        <v>1.1940396823779654E-05</v>
      </c>
      <c r="P49" s="66">
        <f t="shared" si="13"/>
        <v>1.6186449337488753E-07</v>
      </c>
      <c r="Q49" s="66">
        <f t="shared" si="13"/>
        <v>0</v>
      </c>
      <c r="R49" s="66">
        <f t="shared" si="13"/>
        <v>0</v>
      </c>
      <c r="S49" s="69">
        <f t="shared" si="13"/>
        <v>0</v>
      </c>
    </row>
    <row r="50" spans="3:19" ht="12.75">
      <c r="C50" s="18">
        <v>81</v>
      </c>
      <c r="D50" s="65">
        <f aca="true" t="shared" si="14" ref="D50:S50">IF(OR(D18&lt;0,D18&gt;D$7),0,BINOMDIST(D18,D$7,$G$29,FALSE)*D$39)</f>
        <v>0</v>
      </c>
      <c r="E50" s="66">
        <f t="shared" si="14"/>
        <v>0</v>
      </c>
      <c r="F50" s="66">
        <f t="shared" si="14"/>
        <v>0</v>
      </c>
      <c r="G50" s="66">
        <f t="shared" si="14"/>
        <v>0</v>
      </c>
      <c r="H50" s="66">
        <f t="shared" si="14"/>
        <v>0</v>
      </c>
      <c r="I50" s="66">
        <f t="shared" si="14"/>
        <v>0</v>
      </c>
      <c r="J50" s="66">
        <f t="shared" si="14"/>
        <v>0</v>
      </c>
      <c r="K50" s="66">
        <f t="shared" si="14"/>
        <v>0</v>
      </c>
      <c r="L50" s="66">
        <f t="shared" si="14"/>
        <v>0</v>
      </c>
      <c r="M50" s="66">
        <f t="shared" si="14"/>
        <v>0</v>
      </c>
      <c r="N50" s="66">
        <f t="shared" si="14"/>
        <v>4.1450234688263734E-05</v>
      </c>
      <c r="O50" s="66">
        <f t="shared" si="14"/>
        <v>1.791059523566948E-05</v>
      </c>
      <c r="P50" s="66">
        <f t="shared" si="14"/>
        <v>1.0925853302804912E-06</v>
      </c>
      <c r="Q50" s="66">
        <f t="shared" si="14"/>
        <v>0</v>
      </c>
      <c r="R50" s="66">
        <f t="shared" si="14"/>
        <v>0</v>
      </c>
      <c r="S50" s="69">
        <f t="shared" si="14"/>
        <v>0</v>
      </c>
    </row>
    <row r="51" spans="3:19" ht="12.75">
      <c r="C51" s="18">
        <v>82</v>
      </c>
      <c r="D51" s="65">
        <f aca="true" t="shared" si="15" ref="D51:S51">IF(OR(D19&lt;0,D19&gt;D$7),0,BINOMDIST(D19,D$7,$G$29,FALSE)*D$39)</f>
        <v>0</v>
      </c>
      <c r="E51" s="66">
        <f t="shared" si="15"/>
        <v>0</v>
      </c>
      <c r="F51" s="66">
        <f t="shared" si="15"/>
        <v>0</v>
      </c>
      <c r="G51" s="66">
        <f t="shared" si="15"/>
        <v>0</v>
      </c>
      <c r="H51" s="66">
        <f t="shared" si="15"/>
        <v>0</v>
      </c>
      <c r="I51" s="66">
        <f t="shared" si="15"/>
        <v>0</v>
      </c>
      <c r="J51" s="66">
        <f t="shared" si="15"/>
        <v>0</v>
      </c>
      <c r="K51" s="66">
        <f t="shared" si="15"/>
        <v>0</v>
      </c>
      <c r="L51" s="66">
        <f t="shared" si="15"/>
        <v>0</v>
      </c>
      <c r="M51" s="66">
        <f t="shared" si="15"/>
        <v>0</v>
      </c>
      <c r="N51" s="66">
        <f t="shared" si="15"/>
        <v>0</v>
      </c>
      <c r="O51" s="66">
        <f t="shared" si="15"/>
        <v>1.0074709820064084E-05</v>
      </c>
      <c r="P51" s="66">
        <f t="shared" si="15"/>
        <v>2.4583169931311046E-06</v>
      </c>
      <c r="Q51" s="66">
        <f t="shared" si="15"/>
        <v>4.721047723434212E-08</v>
      </c>
      <c r="R51" s="66">
        <f t="shared" si="15"/>
        <v>0</v>
      </c>
      <c r="S51" s="69">
        <f t="shared" si="15"/>
        <v>0</v>
      </c>
    </row>
    <row r="52" spans="3:19" ht="12.75">
      <c r="C52" s="18">
        <v>83</v>
      </c>
      <c r="D52" s="65">
        <f aca="true" t="shared" si="16" ref="D52:S52">IF(OR(D20&lt;0,D20&gt;D$7),0,BINOMDIST(D20,D$7,$G$29,FALSE)*D$39)</f>
        <v>0</v>
      </c>
      <c r="E52" s="66">
        <f t="shared" si="16"/>
        <v>0</v>
      </c>
      <c r="F52" s="66">
        <f t="shared" si="16"/>
        <v>0</v>
      </c>
      <c r="G52" s="66">
        <f t="shared" si="16"/>
        <v>0</v>
      </c>
      <c r="H52" s="66">
        <f t="shared" si="16"/>
        <v>0</v>
      </c>
      <c r="I52" s="66">
        <f t="shared" si="16"/>
        <v>0</v>
      </c>
      <c r="J52" s="66">
        <f t="shared" si="16"/>
        <v>0</v>
      </c>
      <c r="K52" s="66">
        <f t="shared" si="16"/>
        <v>0</v>
      </c>
      <c r="L52" s="66">
        <f t="shared" si="16"/>
        <v>0</v>
      </c>
      <c r="M52" s="66">
        <f t="shared" si="16"/>
        <v>0</v>
      </c>
      <c r="N52" s="66">
        <f t="shared" si="16"/>
        <v>0</v>
      </c>
      <c r="O52" s="66">
        <f t="shared" si="16"/>
        <v>0</v>
      </c>
      <c r="P52" s="66">
        <f t="shared" si="16"/>
        <v>1.8437377448483282E-06</v>
      </c>
      <c r="Q52" s="66">
        <f t="shared" si="16"/>
        <v>2.124471475545396E-07</v>
      </c>
      <c r="R52" s="66">
        <f t="shared" si="16"/>
        <v>0</v>
      </c>
      <c r="S52" s="69">
        <f t="shared" si="16"/>
        <v>0</v>
      </c>
    </row>
    <row r="53" spans="3:19" ht="12.75">
      <c r="C53" s="18">
        <v>84</v>
      </c>
      <c r="D53" s="65">
        <f aca="true" t="shared" si="17" ref="D53:S53">IF(OR(D21&lt;0,D21&gt;D$7),0,BINOMDIST(D21,D$7,$G$29,FALSE)*D$39)</f>
        <v>0</v>
      </c>
      <c r="E53" s="66">
        <f t="shared" si="17"/>
        <v>0</v>
      </c>
      <c r="F53" s="66">
        <f t="shared" si="17"/>
        <v>0</v>
      </c>
      <c r="G53" s="66">
        <f t="shared" si="17"/>
        <v>0</v>
      </c>
      <c r="H53" s="66">
        <f t="shared" si="17"/>
        <v>0</v>
      </c>
      <c r="I53" s="66">
        <f t="shared" si="17"/>
        <v>0</v>
      </c>
      <c r="J53" s="66">
        <f t="shared" si="17"/>
        <v>0</v>
      </c>
      <c r="K53" s="66">
        <f t="shared" si="17"/>
        <v>0</v>
      </c>
      <c r="L53" s="66">
        <f t="shared" si="17"/>
        <v>0</v>
      </c>
      <c r="M53" s="66">
        <f t="shared" si="17"/>
        <v>0</v>
      </c>
      <c r="N53" s="66">
        <f t="shared" si="17"/>
        <v>0</v>
      </c>
      <c r="O53" s="66">
        <f t="shared" si="17"/>
        <v>0</v>
      </c>
      <c r="P53" s="66">
        <f t="shared" si="17"/>
        <v>0</v>
      </c>
      <c r="Q53" s="66">
        <f t="shared" si="17"/>
        <v>2.3900304099885706E-07</v>
      </c>
      <c r="R53" s="66">
        <f t="shared" si="17"/>
        <v>8.696666858957778E-09</v>
      </c>
      <c r="S53" s="69">
        <f t="shared" si="17"/>
        <v>0</v>
      </c>
    </row>
    <row r="54" spans="3:19" ht="12.75">
      <c r="C54" s="18">
        <v>85</v>
      </c>
      <c r="D54" s="65">
        <f aca="true" t="shared" si="18" ref="D54:S54">IF(OR(D22&lt;0,D22&gt;D$7),0,BINOMDIST(D22,D$7,$G$29,FALSE)*D$39)</f>
        <v>0</v>
      </c>
      <c r="E54" s="66">
        <f t="shared" si="18"/>
        <v>0</v>
      </c>
      <c r="F54" s="66">
        <f t="shared" si="18"/>
        <v>0</v>
      </c>
      <c r="G54" s="66">
        <f t="shared" si="18"/>
        <v>0</v>
      </c>
      <c r="H54" s="66">
        <f t="shared" si="18"/>
        <v>0</v>
      </c>
      <c r="I54" s="66">
        <f t="shared" si="18"/>
        <v>0</v>
      </c>
      <c r="J54" s="66">
        <f t="shared" si="18"/>
        <v>0</v>
      </c>
      <c r="K54" s="66">
        <f t="shared" si="18"/>
        <v>0</v>
      </c>
      <c r="L54" s="66">
        <f t="shared" si="18"/>
        <v>0</v>
      </c>
      <c r="M54" s="66">
        <f t="shared" si="18"/>
        <v>0</v>
      </c>
      <c r="N54" s="66">
        <f t="shared" si="18"/>
        <v>0</v>
      </c>
      <c r="O54" s="66">
        <f t="shared" si="18"/>
        <v>0</v>
      </c>
      <c r="P54" s="66">
        <f t="shared" si="18"/>
        <v>0</v>
      </c>
      <c r="Q54" s="66">
        <f t="shared" si="18"/>
        <v>0</v>
      </c>
      <c r="R54" s="66">
        <f t="shared" si="18"/>
        <v>1.9567500432655003E-08</v>
      </c>
      <c r="S54" s="69">
        <f t="shared" si="18"/>
        <v>0</v>
      </c>
    </row>
    <row r="55" spans="3:19" ht="13.5" thickBot="1">
      <c r="C55" s="18">
        <v>86</v>
      </c>
      <c r="D55" s="70">
        <f aca="true" t="shared" si="19" ref="D55:S55">IF(OR(D23&lt;0,D23&gt;D$7),0,BINOMDIST(D23,D$7,$G$29,FALSE)*D$39)</f>
        <v>0</v>
      </c>
      <c r="E55" s="71">
        <f t="shared" si="19"/>
        <v>0</v>
      </c>
      <c r="F55" s="71">
        <f t="shared" si="19"/>
        <v>0</v>
      </c>
      <c r="G55" s="71">
        <f t="shared" si="19"/>
        <v>0</v>
      </c>
      <c r="H55" s="71">
        <f t="shared" si="19"/>
        <v>0</v>
      </c>
      <c r="I55" s="71">
        <f t="shared" si="19"/>
        <v>0</v>
      </c>
      <c r="J55" s="71">
        <f t="shared" si="19"/>
        <v>0</v>
      </c>
      <c r="K55" s="71">
        <f t="shared" si="19"/>
        <v>0</v>
      </c>
      <c r="L55" s="71">
        <f t="shared" si="19"/>
        <v>0</v>
      </c>
      <c r="M55" s="71">
        <f t="shared" si="19"/>
        <v>0</v>
      </c>
      <c r="N55" s="71">
        <f t="shared" si="19"/>
        <v>0</v>
      </c>
      <c r="O55" s="71">
        <f t="shared" si="19"/>
        <v>0</v>
      </c>
      <c r="P55" s="71">
        <f t="shared" si="19"/>
        <v>0</v>
      </c>
      <c r="Q55" s="71">
        <f t="shared" si="19"/>
        <v>0</v>
      </c>
      <c r="R55" s="71">
        <f t="shared" si="19"/>
        <v>0</v>
      </c>
      <c r="S55" s="72">
        <f t="shared" si="19"/>
        <v>7.609583501588035E-10</v>
      </c>
    </row>
    <row r="58" ht="12.75">
      <c r="B58" t="s">
        <v>129</v>
      </c>
    </row>
    <row r="60" spans="3:5" ht="12.75">
      <c r="C60" s="167" t="s">
        <v>130</v>
      </c>
      <c r="D60" s="166" t="s">
        <v>131</v>
      </c>
      <c r="E60" s="166" t="s">
        <v>132</v>
      </c>
    </row>
    <row r="61" spans="3:5" ht="13.5" thickBot="1">
      <c r="C61" s="168"/>
      <c r="D61" s="166"/>
      <c r="E61" s="166"/>
    </row>
    <row r="62" spans="3:7" ht="12.75">
      <c r="C62" s="73" t="s">
        <v>133</v>
      </c>
      <c r="D62" s="74">
        <v>-50</v>
      </c>
      <c r="E62" s="75">
        <f>1-SUM(E63:E78)</f>
        <v>0.6748641726910256</v>
      </c>
      <c r="F62" s="25">
        <f>SUMPRODUCT(D62:D78,E62:E78)</f>
        <v>34.62074608033357</v>
      </c>
      <c r="G62" s="9" t="s">
        <v>108</v>
      </c>
    </row>
    <row r="63" spans="3:7" ht="12.75">
      <c r="C63" s="76">
        <v>71</v>
      </c>
      <c r="D63" s="77">
        <f aca="true" t="shared" si="20" ref="D63:D78">100*(C63-70)-50</f>
        <v>50</v>
      </c>
      <c r="E63" s="78">
        <f aca="true" t="shared" si="21" ref="E63:E78">SUM(D40:S40)</f>
        <v>0.10283986944057173</v>
      </c>
      <c r="F63" s="25">
        <f>SQRT(SUMPRODUCT(D62:D78^2,E62:E78)-F62^2)</f>
        <v>153.27592434168253</v>
      </c>
      <c r="G63" s="9" t="s">
        <v>110</v>
      </c>
    </row>
    <row r="64" spans="3:7" ht="12.75">
      <c r="C64" s="76">
        <v>72</v>
      </c>
      <c r="D64" s="77">
        <f t="shared" si="20"/>
        <v>150</v>
      </c>
      <c r="E64" s="78">
        <f t="shared" si="21"/>
        <v>0.08187581435926249</v>
      </c>
      <c r="F64" s="6">
        <f>SUM(E63:E78)</f>
        <v>0.32513582730897433</v>
      </c>
      <c r="G64" t="s">
        <v>142</v>
      </c>
    </row>
    <row r="65" spans="3:5" ht="12.75">
      <c r="C65" s="76">
        <v>73</v>
      </c>
      <c r="D65" s="77">
        <f t="shared" si="20"/>
        <v>250</v>
      </c>
      <c r="E65" s="78">
        <f t="shared" si="21"/>
        <v>0.059045299220924594</v>
      </c>
    </row>
    <row r="66" spans="3:5" ht="12.75">
      <c r="C66" s="76">
        <v>74</v>
      </c>
      <c r="D66" s="77">
        <f t="shared" si="20"/>
        <v>350</v>
      </c>
      <c r="E66" s="78">
        <f t="shared" si="21"/>
        <v>0.038428356752584596</v>
      </c>
    </row>
    <row r="67" spans="3:5" ht="12.75">
      <c r="C67" s="76">
        <v>75</v>
      </c>
      <c r="D67" s="77">
        <f t="shared" si="20"/>
        <v>450</v>
      </c>
      <c r="E67" s="78">
        <f t="shared" si="21"/>
        <v>0.022467935714810754</v>
      </c>
    </row>
    <row r="68" spans="3:5" ht="12.75">
      <c r="C68" s="76">
        <v>76</v>
      </c>
      <c r="D68" s="77">
        <f t="shared" si="20"/>
        <v>550</v>
      </c>
      <c r="E68" s="78">
        <f t="shared" si="21"/>
        <v>0.01173399311931196</v>
      </c>
    </row>
    <row r="69" spans="3:5" ht="12.75">
      <c r="C69" s="76">
        <v>77</v>
      </c>
      <c r="D69" s="77">
        <f t="shared" si="20"/>
        <v>650</v>
      </c>
      <c r="E69" s="78">
        <f t="shared" si="21"/>
        <v>0.005435255397599607</v>
      </c>
    </row>
    <row r="70" spans="3:5" ht="12.75">
      <c r="C70" s="76">
        <v>78</v>
      </c>
      <c r="D70" s="77">
        <f t="shared" si="20"/>
        <v>750</v>
      </c>
      <c r="E70" s="78">
        <f t="shared" si="21"/>
        <v>0.002213197140542782</v>
      </c>
    </row>
    <row r="71" spans="3:5" ht="12.75">
      <c r="C71" s="76">
        <v>79</v>
      </c>
      <c r="D71" s="77">
        <f t="shared" si="20"/>
        <v>850</v>
      </c>
      <c r="E71" s="78">
        <f t="shared" si="21"/>
        <v>0.0007833015065920814</v>
      </c>
    </row>
    <row r="72" spans="3:5" ht="12.75">
      <c r="C72" s="76">
        <v>80</v>
      </c>
      <c r="D72" s="77">
        <f t="shared" si="20"/>
        <v>950</v>
      </c>
      <c r="E72" s="78">
        <f t="shared" si="21"/>
        <v>0.00023744679117001667</v>
      </c>
    </row>
    <row r="73" spans="3:5" ht="12.75">
      <c r="C73" s="76">
        <v>81</v>
      </c>
      <c r="D73" s="77">
        <f t="shared" si="20"/>
        <v>1050</v>
      </c>
      <c r="E73" s="78">
        <f t="shared" si="21"/>
        <v>6.0453415254213704E-05</v>
      </c>
    </row>
    <row r="74" spans="3:5" ht="12.75">
      <c r="C74" s="76">
        <v>82</v>
      </c>
      <c r="D74" s="77">
        <f t="shared" si="20"/>
        <v>1150</v>
      </c>
      <c r="E74" s="78">
        <f t="shared" si="21"/>
        <v>1.258023729042953E-05</v>
      </c>
    </row>
    <row r="75" spans="3:5" ht="12.75">
      <c r="C75" s="76">
        <v>83</v>
      </c>
      <c r="D75" s="77">
        <f t="shared" si="20"/>
        <v>1250</v>
      </c>
      <c r="E75" s="78">
        <f t="shared" si="21"/>
        <v>2.0561848924028677E-06</v>
      </c>
    </row>
    <row r="76" spans="3:5" ht="12.75">
      <c r="C76" s="76">
        <v>84</v>
      </c>
      <c r="D76" s="77">
        <f t="shared" si="20"/>
        <v>1350</v>
      </c>
      <c r="E76" s="78">
        <f t="shared" si="21"/>
        <v>2.4769970785781485E-07</v>
      </c>
    </row>
    <row r="77" spans="3:5" ht="12.75">
      <c r="C77" s="76">
        <v>85</v>
      </c>
      <c r="D77" s="77">
        <f t="shared" si="20"/>
        <v>1450</v>
      </c>
      <c r="E77" s="78">
        <f t="shared" si="21"/>
        <v>1.9567500432655003E-08</v>
      </c>
    </row>
    <row r="78" spans="3:5" ht="13.5" thickBot="1">
      <c r="C78" s="79">
        <v>86</v>
      </c>
      <c r="D78" s="80">
        <f t="shared" si="20"/>
        <v>1550</v>
      </c>
      <c r="E78" s="81">
        <f t="shared" si="21"/>
        <v>7.609583501588035E-10</v>
      </c>
    </row>
    <row r="79" spans="5:6" ht="12.75">
      <c r="E79" s="162">
        <f>SUM(E62:E78)</f>
        <v>0.9999999999999999</v>
      </c>
      <c r="F79" t="s">
        <v>0</v>
      </c>
    </row>
  </sheetData>
  <sheetProtection/>
  <mergeCells count="5">
    <mergeCell ref="B1:G1"/>
    <mergeCell ref="C60:C61"/>
    <mergeCell ref="D60:D61"/>
    <mergeCell ref="E60:E61"/>
    <mergeCell ref="B11:B15"/>
  </mergeCells>
  <conditionalFormatting sqref="D40:S5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9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150</v>
      </c>
      <c r="B1" s="1" t="s">
        <v>151</v>
      </c>
      <c r="C1" t="s">
        <v>152</v>
      </c>
      <c r="D1" t="s">
        <v>153</v>
      </c>
      <c r="F1" s="1" t="s">
        <v>150</v>
      </c>
      <c r="G1" s="1" t="s">
        <v>151</v>
      </c>
    </row>
    <row r="2" spans="1:7" ht="12.75">
      <c r="A2" t="s">
        <v>154</v>
      </c>
      <c r="B2" t="s">
        <v>155</v>
      </c>
      <c r="C2">
        <v>1</v>
      </c>
      <c r="D2">
        <v>1</v>
      </c>
      <c r="F2">
        <f>LOWER(Score!C5)</f>
      </c>
      <c r="G2">
        <f>LOWER(Score!C6)</f>
      </c>
    </row>
    <row r="3" spans="1:4" ht="12.75">
      <c r="A3" t="s">
        <v>156</v>
      </c>
      <c r="B3" t="s">
        <v>157</v>
      </c>
      <c r="C3">
        <v>2</v>
      </c>
      <c r="D3">
        <v>2</v>
      </c>
    </row>
    <row r="4" spans="1:7" ht="12.75">
      <c r="A4" t="s">
        <v>158</v>
      </c>
      <c r="B4" t="s">
        <v>159</v>
      </c>
      <c r="C4">
        <v>3</v>
      </c>
      <c r="D4">
        <v>3</v>
      </c>
      <c r="F4" t="e">
        <f>LOOKUP(F2,A:A,D:D)</f>
        <v>#N/A</v>
      </c>
      <c r="G4" t="str">
        <f>showformula(F4)</f>
        <v>=LOOKUP(F2,A:A,D:D)</v>
      </c>
    </row>
    <row r="5" spans="1:7" ht="12.75">
      <c r="A5" t="s">
        <v>160</v>
      </c>
      <c r="B5" t="s">
        <v>161</v>
      </c>
      <c r="C5">
        <v>4</v>
      </c>
      <c r="D5">
        <v>4</v>
      </c>
      <c r="F5" t="e">
        <f ca="1">IF(AND(OFFSET(A1,F4,0)=F2,OFFSET(B1,F4,0)=G2),1,0)</f>
        <v>#N/A</v>
      </c>
      <c r="G5" t="str">
        <f>showformula(F5)</f>
        <v>=IF(AND(OFFSET(A1,F4,0)=F2,OFFSET(B1,F4,0)=G2),1,0)</v>
      </c>
    </row>
    <row r="6" spans="1:7" ht="12.75">
      <c r="A6" t="s">
        <v>162</v>
      </c>
      <c r="B6" t="s">
        <v>163</v>
      </c>
      <c r="C6">
        <v>5</v>
      </c>
      <c r="D6">
        <v>5</v>
      </c>
      <c r="F6">
        <f>IF(ISNA(F4),0,F5)</f>
        <v>0</v>
      </c>
      <c r="G6" t="str">
        <f>showformula(F6)</f>
        <v>=IF(ISNA(F4),0,F5)</v>
      </c>
    </row>
    <row r="7" spans="1:7" ht="12.75">
      <c r="A7" t="s">
        <v>164</v>
      </c>
      <c r="B7" t="s">
        <v>165</v>
      </c>
      <c r="C7">
        <v>6</v>
      </c>
      <c r="D7">
        <v>6</v>
      </c>
      <c r="F7" t="e">
        <f ca="1">OFFSET(A1,location,2)</f>
        <v>#N/A</v>
      </c>
      <c r="G7" t="str">
        <f>showformula(F7)</f>
        <v>=OFFSET(A1,location,2)</v>
      </c>
    </row>
    <row r="8" spans="1:4" ht="12.75">
      <c r="A8" t="s">
        <v>166</v>
      </c>
      <c r="B8" t="s">
        <v>167</v>
      </c>
      <c r="C8">
        <v>7</v>
      </c>
      <c r="D8">
        <v>7</v>
      </c>
    </row>
    <row r="9" spans="1:4" ht="12.75">
      <c r="A9" t="s">
        <v>168</v>
      </c>
      <c r="B9" t="s">
        <v>169</v>
      </c>
      <c r="C9">
        <v>8</v>
      </c>
      <c r="D9">
        <v>8</v>
      </c>
    </row>
    <row r="10" spans="1:4" ht="12.75">
      <c r="A10" t="s">
        <v>170</v>
      </c>
      <c r="B10" t="s">
        <v>171</v>
      </c>
      <c r="C10">
        <v>9</v>
      </c>
      <c r="D10">
        <v>9</v>
      </c>
    </row>
    <row r="11" spans="1:4" ht="12.75">
      <c r="A11" t="s">
        <v>172</v>
      </c>
      <c r="B11" t="s">
        <v>173</v>
      </c>
      <c r="C11">
        <v>10</v>
      </c>
      <c r="D11">
        <v>10</v>
      </c>
    </row>
    <row r="12" spans="1:4" ht="12.75">
      <c r="A12" t="s">
        <v>174</v>
      </c>
      <c r="B12" t="s">
        <v>175</v>
      </c>
      <c r="C12">
        <v>11</v>
      </c>
      <c r="D12">
        <v>11</v>
      </c>
    </row>
    <row r="13" spans="1:4" ht="12.75">
      <c r="A13" t="s">
        <v>176</v>
      </c>
      <c r="B13" t="s">
        <v>177</v>
      </c>
      <c r="C13">
        <v>12</v>
      </c>
      <c r="D13">
        <v>12</v>
      </c>
    </row>
    <row r="14" spans="1:4" ht="12.75">
      <c r="A14" t="s">
        <v>178</v>
      </c>
      <c r="B14" t="s">
        <v>179</v>
      </c>
      <c r="C14">
        <v>13</v>
      </c>
      <c r="D14">
        <v>13</v>
      </c>
    </row>
    <row r="15" spans="1:4" ht="12.75">
      <c r="A15" t="s">
        <v>180</v>
      </c>
      <c r="B15" t="s">
        <v>181</v>
      </c>
      <c r="C15">
        <v>14</v>
      </c>
      <c r="D15">
        <v>14</v>
      </c>
    </row>
    <row r="16" spans="1:4" ht="12.75">
      <c r="A16" t="s">
        <v>182</v>
      </c>
      <c r="B16" t="s">
        <v>183</v>
      </c>
      <c r="C16">
        <v>15</v>
      </c>
      <c r="D16">
        <v>15</v>
      </c>
    </row>
    <row r="17" spans="1:4" ht="12.75">
      <c r="A17" t="s">
        <v>184</v>
      </c>
      <c r="B17" t="s">
        <v>185</v>
      </c>
      <c r="C17">
        <v>16</v>
      </c>
      <c r="D17">
        <v>16</v>
      </c>
    </row>
    <row r="18" spans="1:4" ht="12.75">
      <c r="A18" t="s">
        <v>186</v>
      </c>
      <c r="B18" t="s">
        <v>187</v>
      </c>
      <c r="C18">
        <v>17</v>
      </c>
      <c r="D18">
        <v>17</v>
      </c>
    </row>
    <row r="19" spans="1:4" ht="12.75">
      <c r="A19" t="s">
        <v>188</v>
      </c>
      <c r="B19" t="s">
        <v>189</v>
      </c>
      <c r="C19">
        <v>18</v>
      </c>
      <c r="D19">
        <v>18</v>
      </c>
    </row>
    <row r="20" spans="1:4" ht="12.75">
      <c r="A20" t="s">
        <v>190</v>
      </c>
      <c r="B20" t="s">
        <v>191</v>
      </c>
      <c r="C20">
        <v>19</v>
      </c>
      <c r="D20">
        <v>19</v>
      </c>
    </row>
    <row r="21" spans="1:4" ht="12.75">
      <c r="A21" t="s">
        <v>192</v>
      </c>
      <c r="B21" t="s">
        <v>193</v>
      </c>
      <c r="C21">
        <v>20</v>
      </c>
      <c r="D21">
        <v>20</v>
      </c>
    </row>
    <row r="22" spans="1:4" ht="12.75">
      <c r="A22" t="s">
        <v>194</v>
      </c>
      <c r="B22" t="s">
        <v>195</v>
      </c>
      <c r="C22">
        <v>21</v>
      </c>
      <c r="D22">
        <v>21</v>
      </c>
    </row>
    <row r="23" spans="1:4" ht="12.75">
      <c r="A23" t="s">
        <v>196</v>
      </c>
      <c r="B23" t="s">
        <v>197</v>
      </c>
      <c r="C23">
        <v>22</v>
      </c>
      <c r="D23">
        <v>22</v>
      </c>
    </row>
    <row r="24" spans="1:4" ht="12.75">
      <c r="A24" t="s">
        <v>198</v>
      </c>
      <c r="B24" t="s">
        <v>199</v>
      </c>
      <c r="C24">
        <v>23</v>
      </c>
      <c r="D24">
        <v>23</v>
      </c>
    </row>
    <row r="25" spans="1:4" ht="12.75">
      <c r="A25" t="s">
        <v>200</v>
      </c>
      <c r="B25" t="s">
        <v>201</v>
      </c>
      <c r="C25">
        <v>24</v>
      </c>
      <c r="D25">
        <v>24</v>
      </c>
    </row>
    <row r="26" spans="1:4" ht="12.75">
      <c r="A26" t="s">
        <v>202</v>
      </c>
      <c r="B26" t="s">
        <v>203</v>
      </c>
      <c r="C26">
        <v>25</v>
      </c>
      <c r="D26">
        <v>25</v>
      </c>
    </row>
    <row r="27" spans="1:4" ht="12.75">
      <c r="A27" t="s">
        <v>204</v>
      </c>
      <c r="B27" t="s">
        <v>205</v>
      </c>
      <c r="C27">
        <v>26</v>
      </c>
      <c r="D27">
        <v>26</v>
      </c>
    </row>
    <row r="28" spans="1:4" ht="12.75">
      <c r="A28" t="s">
        <v>206</v>
      </c>
      <c r="B28" t="s">
        <v>207</v>
      </c>
      <c r="C28">
        <v>27</v>
      </c>
      <c r="D28">
        <v>27</v>
      </c>
    </row>
    <row r="29" spans="1:4" ht="12.75">
      <c r="A29" t="s">
        <v>208</v>
      </c>
      <c r="B29" t="s">
        <v>209</v>
      </c>
      <c r="C29">
        <v>28</v>
      </c>
      <c r="D29">
        <v>28</v>
      </c>
    </row>
    <row r="30" spans="1:4" ht="12.75">
      <c r="A30" t="s">
        <v>210</v>
      </c>
      <c r="B30" t="s">
        <v>211</v>
      </c>
      <c r="C30">
        <v>29</v>
      </c>
      <c r="D30">
        <v>29</v>
      </c>
    </row>
    <row r="31" spans="1:4" ht="12.75">
      <c r="A31" t="s">
        <v>212</v>
      </c>
      <c r="B31" t="s">
        <v>213</v>
      </c>
      <c r="C31">
        <v>30</v>
      </c>
      <c r="D31">
        <v>30</v>
      </c>
    </row>
    <row r="32" spans="1:4" ht="12.75">
      <c r="A32" t="s">
        <v>214</v>
      </c>
      <c r="B32" t="s">
        <v>215</v>
      </c>
      <c r="C32">
        <v>31</v>
      </c>
      <c r="D32">
        <v>31</v>
      </c>
    </row>
    <row r="33" spans="1:4" ht="12.75">
      <c r="A33" t="s">
        <v>216</v>
      </c>
      <c r="B33" t="s">
        <v>217</v>
      </c>
      <c r="C33">
        <v>32</v>
      </c>
      <c r="D33">
        <v>32</v>
      </c>
    </row>
    <row r="34" spans="1:4" ht="12.75">
      <c r="A34" t="s">
        <v>368</v>
      </c>
      <c r="B34" t="s">
        <v>369</v>
      </c>
      <c r="C34">
        <v>33</v>
      </c>
      <c r="D34">
        <v>33</v>
      </c>
    </row>
    <row r="35" spans="1:4" ht="12.75">
      <c r="A35" t="s">
        <v>218</v>
      </c>
      <c r="B35" t="s">
        <v>219</v>
      </c>
      <c r="C35">
        <v>34</v>
      </c>
      <c r="D35">
        <v>34</v>
      </c>
    </row>
    <row r="36" spans="1:4" ht="12.75">
      <c r="A36" t="s">
        <v>220</v>
      </c>
      <c r="B36" t="s">
        <v>221</v>
      </c>
      <c r="C36">
        <v>35</v>
      </c>
      <c r="D36">
        <v>35</v>
      </c>
    </row>
    <row r="37" spans="1:4" ht="12.75">
      <c r="A37" t="s">
        <v>222</v>
      </c>
      <c r="B37" t="s">
        <v>223</v>
      </c>
      <c r="C37">
        <v>36</v>
      </c>
      <c r="D37">
        <v>36</v>
      </c>
    </row>
    <row r="38" spans="1:4" ht="12.75">
      <c r="A38" t="s">
        <v>224</v>
      </c>
      <c r="B38" t="s">
        <v>225</v>
      </c>
      <c r="C38">
        <v>37</v>
      </c>
      <c r="D38">
        <v>37</v>
      </c>
    </row>
    <row r="39" spans="1:4" ht="12.75">
      <c r="A39" t="s">
        <v>226</v>
      </c>
      <c r="B39" t="s">
        <v>227</v>
      </c>
      <c r="C39">
        <v>38</v>
      </c>
      <c r="D39">
        <v>38</v>
      </c>
    </row>
    <row r="40" spans="1:4" ht="12.75">
      <c r="A40" t="s">
        <v>228</v>
      </c>
      <c r="B40" t="s">
        <v>229</v>
      </c>
      <c r="C40">
        <v>39</v>
      </c>
      <c r="D40">
        <v>39</v>
      </c>
    </row>
    <row r="41" spans="1:4" ht="12.75">
      <c r="A41" t="s">
        <v>230</v>
      </c>
      <c r="B41" t="s">
        <v>231</v>
      </c>
      <c r="C41">
        <v>40</v>
      </c>
      <c r="D41">
        <v>40</v>
      </c>
    </row>
    <row r="42" spans="1:4" ht="12.75">
      <c r="A42" t="s">
        <v>232</v>
      </c>
      <c r="B42" t="s">
        <v>233</v>
      </c>
      <c r="C42">
        <v>41</v>
      </c>
      <c r="D42">
        <v>41</v>
      </c>
    </row>
    <row r="43" spans="1:4" ht="12.75">
      <c r="A43" t="s">
        <v>234</v>
      </c>
      <c r="B43" t="s">
        <v>235</v>
      </c>
      <c r="C43">
        <v>42</v>
      </c>
      <c r="D43">
        <v>42</v>
      </c>
    </row>
    <row r="44" spans="1:4" ht="12.75">
      <c r="A44" t="s">
        <v>236</v>
      </c>
      <c r="B44" t="s">
        <v>237</v>
      </c>
      <c r="C44">
        <v>43</v>
      </c>
      <c r="D44">
        <v>43</v>
      </c>
    </row>
    <row r="45" spans="1:4" ht="12.75">
      <c r="A45" t="s">
        <v>238</v>
      </c>
      <c r="B45" t="s">
        <v>239</v>
      </c>
      <c r="C45">
        <v>44</v>
      </c>
      <c r="D45">
        <v>44</v>
      </c>
    </row>
    <row r="46" spans="1:4" ht="12.75">
      <c r="A46" t="s">
        <v>240</v>
      </c>
      <c r="B46" t="s">
        <v>241</v>
      </c>
      <c r="C46">
        <v>45</v>
      </c>
      <c r="D46">
        <v>45</v>
      </c>
    </row>
    <row r="47" spans="1:4" ht="12.75">
      <c r="A47" t="s">
        <v>242</v>
      </c>
      <c r="B47" t="s">
        <v>243</v>
      </c>
      <c r="C47">
        <v>46</v>
      </c>
      <c r="D47">
        <v>46</v>
      </c>
    </row>
    <row r="48" spans="1:4" ht="12.75">
      <c r="A48" t="s">
        <v>244</v>
      </c>
      <c r="B48" t="s">
        <v>245</v>
      </c>
      <c r="C48">
        <v>47</v>
      </c>
      <c r="D48">
        <v>47</v>
      </c>
    </row>
    <row r="49" spans="1:4" ht="12.75">
      <c r="A49" t="s">
        <v>246</v>
      </c>
      <c r="B49" t="s">
        <v>247</v>
      </c>
      <c r="C49">
        <v>48</v>
      </c>
      <c r="D49">
        <v>48</v>
      </c>
    </row>
    <row r="50" spans="1:4" ht="12.75">
      <c r="A50" t="s">
        <v>248</v>
      </c>
      <c r="B50" t="s">
        <v>249</v>
      </c>
      <c r="C50">
        <v>49</v>
      </c>
      <c r="D50">
        <v>49</v>
      </c>
    </row>
    <row r="51" spans="1:4" ht="12.75">
      <c r="A51" t="s">
        <v>250</v>
      </c>
      <c r="B51" t="s">
        <v>251</v>
      </c>
      <c r="C51">
        <v>50</v>
      </c>
      <c r="D51">
        <v>50</v>
      </c>
    </row>
    <row r="52" spans="1:4" ht="12.75">
      <c r="A52" t="s">
        <v>252</v>
      </c>
      <c r="B52" t="s">
        <v>253</v>
      </c>
      <c r="C52">
        <v>51</v>
      </c>
      <c r="D52">
        <v>51</v>
      </c>
    </row>
    <row r="53" spans="1:4" ht="12.75">
      <c r="A53" t="s">
        <v>254</v>
      </c>
      <c r="B53" t="s">
        <v>255</v>
      </c>
      <c r="C53">
        <v>52</v>
      </c>
      <c r="D53">
        <v>52</v>
      </c>
    </row>
    <row r="54" spans="1:4" ht="12.75">
      <c r="A54" t="s">
        <v>256</v>
      </c>
      <c r="B54" t="s">
        <v>257</v>
      </c>
      <c r="C54">
        <v>53</v>
      </c>
      <c r="D54">
        <v>53</v>
      </c>
    </row>
    <row r="55" spans="1:4" ht="12.75">
      <c r="A55" t="s">
        <v>258</v>
      </c>
      <c r="B55" t="s">
        <v>259</v>
      </c>
      <c r="C55">
        <v>54</v>
      </c>
      <c r="D55">
        <v>54</v>
      </c>
    </row>
    <row r="56" spans="1:4" ht="12.75">
      <c r="A56" t="s">
        <v>260</v>
      </c>
      <c r="B56" t="s">
        <v>261</v>
      </c>
      <c r="C56">
        <v>55</v>
      </c>
      <c r="D56">
        <v>55</v>
      </c>
    </row>
    <row r="57" spans="1:4" ht="12.75">
      <c r="A57" t="s">
        <v>262</v>
      </c>
      <c r="B57" t="s">
        <v>263</v>
      </c>
      <c r="C57">
        <v>56</v>
      </c>
      <c r="D57">
        <v>56</v>
      </c>
    </row>
    <row r="58" spans="1:4" ht="12.75">
      <c r="A58" t="s">
        <v>264</v>
      </c>
      <c r="B58" t="s">
        <v>265</v>
      </c>
      <c r="C58">
        <v>57</v>
      </c>
      <c r="D58">
        <v>57</v>
      </c>
    </row>
    <row r="59" spans="1:4" ht="12.75">
      <c r="A59" t="s">
        <v>266</v>
      </c>
      <c r="B59" t="s">
        <v>267</v>
      </c>
      <c r="C59">
        <v>58</v>
      </c>
      <c r="D59">
        <v>58</v>
      </c>
    </row>
    <row r="60" spans="1:4" ht="12.75">
      <c r="A60" t="s">
        <v>268</v>
      </c>
      <c r="B60" t="s">
        <v>269</v>
      </c>
      <c r="C60">
        <v>59</v>
      </c>
      <c r="D60">
        <v>59</v>
      </c>
    </row>
    <row r="61" spans="1:4" ht="12.75">
      <c r="A61" t="s">
        <v>270</v>
      </c>
      <c r="B61" t="s">
        <v>271</v>
      </c>
      <c r="C61">
        <v>60</v>
      </c>
      <c r="D61">
        <v>60</v>
      </c>
    </row>
    <row r="62" spans="1:4" ht="12.75">
      <c r="A62" t="s">
        <v>272</v>
      </c>
      <c r="B62" t="s">
        <v>273</v>
      </c>
      <c r="C62">
        <v>61</v>
      </c>
      <c r="D62">
        <v>61</v>
      </c>
    </row>
    <row r="63" spans="1:4" ht="12.75">
      <c r="A63" t="s">
        <v>274</v>
      </c>
      <c r="B63" t="s">
        <v>275</v>
      </c>
      <c r="C63">
        <v>62</v>
      </c>
      <c r="D63">
        <v>62</v>
      </c>
    </row>
    <row r="64" spans="1:4" ht="12.75">
      <c r="A64" t="s">
        <v>276</v>
      </c>
      <c r="B64" t="s">
        <v>277</v>
      </c>
      <c r="C64">
        <v>63</v>
      </c>
      <c r="D64">
        <v>63</v>
      </c>
    </row>
    <row r="65" spans="1:4" ht="12.75">
      <c r="A65" t="s">
        <v>278</v>
      </c>
      <c r="B65" t="s">
        <v>279</v>
      </c>
      <c r="C65">
        <v>64</v>
      </c>
      <c r="D65">
        <v>64</v>
      </c>
    </row>
    <row r="66" spans="1:4" ht="12.75">
      <c r="A66" t="s">
        <v>280</v>
      </c>
      <c r="B66" t="s">
        <v>281</v>
      </c>
      <c r="C66">
        <v>65</v>
      </c>
      <c r="D66">
        <v>65</v>
      </c>
    </row>
    <row r="67" spans="1:4" ht="12.75">
      <c r="A67" t="s">
        <v>282</v>
      </c>
      <c r="B67" t="s">
        <v>283</v>
      </c>
      <c r="C67">
        <v>66</v>
      </c>
      <c r="D67">
        <v>66</v>
      </c>
    </row>
    <row r="68" spans="1:4" ht="12.75">
      <c r="A68" t="s">
        <v>284</v>
      </c>
      <c r="B68" t="s">
        <v>285</v>
      </c>
      <c r="C68">
        <v>67</v>
      </c>
      <c r="D68">
        <v>67</v>
      </c>
    </row>
    <row r="69" spans="1:4" ht="12.75">
      <c r="A69" t="s">
        <v>286</v>
      </c>
      <c r="B69" t="s">
        <v>287</v>
      </c>
      <c r="C69">
        <v>68</v>
      </c>
      <c r="D69">
        <v>68</v>
      </c>
    </row>
    <row r="70" spans="1:4" ht="12.75">
      <c r="A70" t="s">
        <v>288</v>
      </c>
      <c r="B70" t="s">
        <v>289</v>
      </c>
      <c r="C70">
        <v>69</v>
      </c>
      <c r="D70">
        <v>69</v>
      </c>
    </row>
    <row r="71" spans="1:4" ht="12.75">
      <c r="A71" t="s">
        <v>290</v>
      </c>
      <c r="B71" t="s">
        <v>291</v>
      </c>
      <c r="C71">
        <v>70</v>
      </c>
      <c r="D71">
        <v>70</v>
      </c>
    </row>
    <row r="72" spans="1:4" ht="12.75">
      <c r="A72" t="s">
        <v>292</v>
      </c>
      <c r="B72" t="s">
        <v>293</v>
      </c>
      <c r="C72">
        <v>71</v>
      </c>
      <c r="D72">
        <v>71</v>
      </c>
    </row>
    <row r="73" spans="1:4" ht="12.75">
      <c r="A73" t="s">
        <v>294</v>
      </c>
      <c r="B73" t="s">
        <v>295</v>
      </c>
      <c r="C73">
        <v>72</v>
      </c>
      <c r="D73">
        <v>72</v>
      </c>
    </row>
    <row r="74" spans="1:4" ht="12.75">
      <c r="A74" t="s">
        <v>296</v>
      </c>
      <c r="B74" t="s">
        <v>297</v>
      </c>
      <c r="C74">
        <v>73</v>
      </c>
      <c r="D74">
        <v>73</v>
      </c>
    </row>
    <row r="75" spans="1:4" ht="12.75">
      <c r="A75" t="s">
        <v>298</v>
      </c>
      <c r="B75" t="s">
        <v>299</v>
      </c>
      <c r="C75">
        <v>74</v>
      </c>
      <c r="D75">
        <v>74</v>
      </c>
    </row>
    <row r="76" spans="1:4" ht="12.75">
      <c r="A76" t="s">
        <v>300</v>
      </c>
      <c r="B76" t="s">
        <v>301</v>
      </c>
      <c r="C76">
        <v>75</v>
      </c>
      <c r="D76">
        <v>75</v>
      </c>
    </row>
    <row r="77" spans="1:4" ht="12.75">
      <c r="A77" t="s">
        <v>302</v>
      </c>
      <c r="B77" t="s">
        <v>303</v>
      </c>
      <c r="C77">
        <v>76</v>
      </c>
      <c r="D77">
        <v>76</v>
      </c>
    </row>
    <row r="78" spans="1:4" ht="12.75">
      <c r="A78" t="s">
        <v>304</v>
      </c>
      <c r="B78" t="s">
        <v>305</v>
      </c>
      <c r="C78">
        <v>77</v>
      </c>
      <c r="D78">
        <v>77</v>
      </c>
    </row>
    <row r="79" spans="1:4" ht="12.75">
      <c r="A79" t="s">
        <v>370</v>
      </c>
      <c r="B79" t="s">
        <v>371</v>
      </c>
      <c r="C79">
        <v>78</v>
      </c>
      <c r="D79">
        <v>78</v>
      </c>
    </row>
    <row r="80" spans="1:4" ht="12.75">
      <c r="A80" t="s">
        <v>306</v>
      </c>
      <c r="B80" t="s">
        <v>307</v>
      </c>
      <c r="C80">
        <v>79</v>
      </c>
      <c r="D80">
        <v>79</v>
      </c>
    </row>
    <row r="81" spans="1:4" ht="12.75">
      <c r="A81" t="s">
        <v>308</v>
      </c>
      <c r="B81" t="s">
        <v>309</v>
      </c>
      <c r="C81">
        <v>80</v>
      </c>
      <c r="D81">
        <v>80</v>
      </c>
    </row>
    <row r="82" spans="1:4" ht="12.75">
      <c r="A82" t="s">
        <v>310</v>
      </c>
      <c r="B82" t="s">
        <v>311</v>
      </c>
      <c r="C82">
        <v>81</v>
      </c>
      <c r="D82">
        <v>81</v>
      </c>
    </row>
    <row r="83" spans="1:4" ht="12.75">
      <c r="A83" t="s">
        <v>312</v>
      </c>
      <c r="B83" t="s">
        <v>313</v>
      </c>
      <c r="C83">
        <v>82</v>
      </c>
      <c r="D83">
        <v>82</v>
      </c>
    </row>
    <row r="84" spans="1:4" ht="12.75">
      <c r="A84" t="s">
        <v>314</v>
      </c>
      <c r="B84" t="s">
        <v>315</v>
      </c>
      <c r="C84">
        <v>83</v>
      </c>
      <c r="D84">
        <v>83</v>
      </c>
    </row>
    <row r="85" spans="1:4" ht="12.75">
      <c r="A85" t="s">
        <v>316</v>
      </c>
      <c r="B85" t="s">
        <v>317</v>
      </c>
      <c r="C85">
        <v>84</v>
      </c>
      <c r="D85">
        <v>84</v>
      </c>
    </row>
    <row r="86" spans="1:4" ht="12.75">
      <c r="A86" t="s">
        <v>318</v>
      </c>
      <c r="B86" t="s">
        <v>319</v>
      </c>
      <c r="C86">
        <v>85</v>
      </c>
      <c r="D86">
        <v>85</v>
      </c>
    </row>
    <row r="87" spans="1:4" ht="12.75">
      <c r="A87" t="s">
        <v>320</v>
      </c>
      <c r="B87" t="s">
        <v>321</v>
      </c>
      <c r="C87">
        <v>86</v>
      </c>
      <c r="D87">
        <v>86</v>
      </c>
    </row>
    <row r="88" spans="1:4" ht="12.75">
      <c r="A88" t="s">
        <v>322</v>
      </c>
      <c r="B88" t="s">
        <v>323</v>
      </c>
      <c r="C88">
        <v>87</v>
      </c>
      <c r="D88">
        <v>87</v>
      </c>
    </row>
    <row r="89" spans="1:4" ht="12.75">
      <c r="A89" t="s">
        <v>324</v>
      </c>
      <c r="B89" t="s">
        <v>325</v>
      </c>
      <c r="C89">
        <v>88</v>
      </c>
      <c r="D89">
        <v>88</v>
      </c>
    </row>
    <row r="90" spans="1:4" ht="12.75">
      <c r="A90" t="s">
        <v>326</v>
      </c>
      <c r="B90" t="s">
        <v>327</v>
      </c>
      <c r="C90">
        <v>89</v>
      </c>
      <c r="D90">
        <v>89</v>
      </c>
    </row>
    <row r="91" spans="1:4" ht="12.75">
      <c r="A91" t="s">
        <v>328</v>
      </c>
      <c r="B91" t="s">
        <v>329</v>
      </c>
      <c r="C91">
        <v>90</v>
      </c>
      <c r="D91">
        <v>90</v>
      </c>
    </row>
    <row r="92" spans="1:4" ht="12.75">
      <c r="A92" t="s">
        <v>330</v>
      </c>
      <c r="B92" t="s">
        <v>331</v>
      </c>
      <c r="C92">
        <v>91</v>
      </c>
      <c r="D92">
        <v>91</v>
      </c>
    </row>
    <row r="93" spans="1:4" ht="12.75">
      <c r="A93" t="s">
        <v>332</v>
      </c>
      <c r="B93" t="s">
        <v>333</v>
      </c>
      <c r="C93">
        <v>92</v>
      </c>
      <c r="D93">
        <v>92</v>
      </c>
    </row>
    <row r="94" spans="1:4" ht="12.75">
      <c r="A94" t="s">
        <v>334</v>
      </c>
      <c r="B94" t="s">
        <v>335</v>
      </c>
      <c r="C94">
        <v>93</v>
      </c>
      <c r="D94">
        <v>93</v>
      </c>
    </row>
    <row r="95" spans="1:4" ht="12.75">
      <c r="A95" t="s">
        <v>336</v>
      </c>
      <c r="B95" t="s">
        <v>337</v>
      </c>
      <c r="C95">
        <v>94</v>
      </c>
      <c r="D95">
        <v>94</v>
      </c>
    </row>
    <row r="96" spans="1:4" ht="12.75">
      <c r="A96" t="s">
        <v>338</v>
      </c>
      <c r="B96" t="s">
        <v>339</v>
      </c>
      <c r="C96">
        <v>95</v>
      </c>
      <c r="D96">
        <v>95</v>
      </c>
    </row>
    <row r="97" spans="1:4" ht="12.75">
      <c r="A97" t="s">
        <v>372</v>
      </c>
      <c r="B97" t="s">
        <v>373</v>
      </c>
      <c r="C97">
        <v>96</v>
      </c>
      <c r="D97">
        <v>96</v>
      </c>
    </row>
    <row r="98" spans="1:4" ht="12.75">
      <c r="A98" t="s">
        <v>340</v>
      </c>
      <c r="B98" t="s">
        <v>247</v>
      </c>
      <c r="C98">
        <v>97</v>
      </c>
      <c r="D98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Y86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1" customWidth="1"/>
    <col min="3" max="12" width="8.7109375" style="1" customWidth="1"/>
    <col min="13" max="22" width="4.8515625" style="1" customWidth="1"/>
    <col min="23" max="25" width="9.140625" style="1" customWidth="1"/>
  </cols>
  <sheetData>
    <row r="1" spans="2:11" ht="15.75">
      <c r="B1" s="165" t="s">
        <v>341</v>
      </c>
      <c r="C1" s="165"/>
      <c r="D1" s="165"/>
      <c r="E1" s="165"/>
      <c r="F1" s="165"/>
      <c r="G1" s="165"/>
      <c r="H1" s="165"/>
      <c r="I1" s="119"/>
      <c r="J1" s="119"/>
      <c r="K1" s="119"/>
    </row>
    <row r="3" ht="12.75">
      <c r="B3" s="149" t="s">
        <v>342</v>
      </c>
    </row>
    <row r="4" ht="13.5" thickBot="1"/>
    <row r="5" spans="2:7" ht="13.5" thickBot="1">
      <c r="B5" s="1" t="s">
        <v>343</v>
      </c>
      <c r="C5" s="170"/>
      <c r="D5" s="171"/>
      <c r="G5"/>
    </row>
    <row r="6" spans="2:7" ht="13.5" thickBot="1">
      <c r="B6" s="1" t="s">
        <v>344</v>
      </c>
      <c r="C6" s="170"/>
      <c r="D6" s="171"/>
      <c r="G6"/>
    </row>
    <row r="7" ht="12.75"/>
    <row r="8" ht="12.75">
      <c r="E8" s="150" t="s">
        <v>345</v>
      </c>
    </row>
    <row r="9" ht="12.75"/>
    <row r="10" spans="2:25" s="152" customFormat="1" ht="12.75">
      <c r="B10" s="151" t="s">
        <v>346</v>
      </c>
      <c r="C10" s="151" t="s">
        <v>347</v>
      </c>
      <c r="D10" s="151" t="s">
        <v>348</v>
      </c>
      <c r="E10" s="151" t="s">
        <v>349</v>
      </c>
      <c r="F10" s="151" t="s">
        <v>350</v>
      </c>
      <c r="G10" s="151" t="s">
        <v>351</v>
      </c>
      <c r="H10" s="151" t="s">
        <v>352</v>
      </c>
      <c r="I10" s="151" t="s">
        <v>353</v>
      </c>
      <c r="J10" s="151" t="s">
        <v>354</v>
      </c>
      <c r="K10" s="151" t="s">
        <v>364</v>
      </c>
      <c r="L10" s="151" t="s">
        <v>365</v>
      </c>
      <c r="M10" s="151" t="s">
        <v>355</v>
      </c>
      <c r="N10" s="151" t="s">
        <v>356</v>
      </c>
      <c r="O10" s="151" t="s">
        <v>357</v>
      </c>
      <c r="P10" s="151" t="s">
        <v>358</v>
      </c>
      <c r="Q10" s="151" t="s">
        <v>359</v>
      </c>
      <c r="R10" s="151" t="s">
        <v>360</v>
      </c>
      <c r="S10" s="151" t="s">
        <v>361</v>
      </c>
      <c r="T10" s="151" t="s">
        <v>362</v>
      </c>
      <c r="U10" s="151" t="s">
        <v>366</v>
      </c>
      <c r="V10" s="151" t="s">
        <v>367</v>
      </c>
      <c r="W10" s="151"/>
      <c r="X10" s="151"/>
      <c r="Y10" s="151"/>
    </row>
    <row r="11" spans="2:25" s="152" customFormat="1" ht="12.75">
      <c r="B11" s="1">
        <v>8</v>
      </c>
      <c r="C11">
        <v>12000</v>
      </c>
      <c r="D11">
        <v>422.49</v>
      </c>
      <c r="E11">
        <v>13.3</v>
      </c>
      <c r="F11">
        <v>12.46</v>
      </c>
      <c r="G11">
        <v>14.374</v>
      </c>
      <c r="H11">
        <v>0.15</v>
      </c>
      <c r="I11">
        <v>0.726</v>
      </c>
      <c r="J11">
        <v>3</v>
      </c>
      <c r="K11">
        <v>3.248</v>
      </c>
      <c r="L11">
        <v>-25.9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51"/>
      <c r="X11" s="151"/>
      <c r="Y11" s="151"/>
    </row>
    <row r="12" spans="2:22" ht="12.75">
      <c r="B12" s="1">
        <v>1</v>
      </c>
      <c r="C12"/>
      <c r="D12"/>
      <c r="E12">
        <v>16.85</v>
      </c>
      <c r="F12">
        <v>12.46</v>
      </c>
      <c r="G12"/>
      <c r="H12"/>
      <c r="I12"/>
      <c r="J12"/>
      <c r="K12"/>
      <c r="L12"/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2:22" ht="12.75">
      <c r="B13" s="1">
        <v>0</v>
      </c>
      <c r="C13"/>
      <c r="D13"/>
      <c r="E13"/>
      <c r="F13"/>
      <c r="G13"/>
      <c r="H13"/>
      <c r="I13"/>
      <c r="J13"/>
      <c r="K13"/>
      <c r="L13"/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2:22" ht="12.75">
      <c r="B14" s="1">
        <v>6</v>
      </c>
      <c r="C14">
        <v>12000</v>
      </c>
      <c r="D14">
        <v>950.79</v>
      </c>
      <c r="E14">
        <v>13.3</v>
      </c>
      <c r="F14">
        <v>12.46</v>
      </c>
      <c r="G14">
        <v>14.37</v>
      </c>
      <c r="H14">
        <v>0.15</v>
      </c>
      <c r="I14">
        <v>0.4</v>
      </c>
      <c r="J14">
        <v>69</v>
      </c>
      <c r="K14">
        <v>0.02</v>
      </c>
      <c r="L14">
        <v>32.59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0</v>
      </c>
      <c r="T14" s="1">
        <v>1</v>
      </c>
      <c r="U14" s="1">
        <v>0</v>
      </c>
      <c r="V14" s="1">
        <v>0</v>
      </c>
    </row>
    <row r="15" spans="2:22" ht="12.75">
      <c r="B15" s="1">
        <v>8</v>
      </c>
      <c r="C15">
        <v>12000</v>
      </c>
      <c r="D15">
        <v>851.76</v>
      </c>
      <c r="E15">
        <v>13.3</v>
      </c>
      <c r="F15">
        <v>17.21</v>
      </c>
      <c r="G15">
        <v>11.45</v>
      </c>
      <c r="H15">
        <v>0.15</v>
      </c>
      <c r="I15">
        <v>0.73</v>
      </c>
      <c r="J15">
        <v>69</v>
      </c>
      <c r="K15">
        <v>3.25</v>
      </c>
      <c r="L15">
        <v>-150.32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1</v>
      </c>
      <c r="T15" s="1">
        <v>1</v>
      </c>
      <c r="U15" s="1">
        <v>1</v>
      </c>
      <c r="V15" s="1">
        <v>0</v>
      </c>
    </row>
    <row r="16" spans="2:22" ht="12.75">
      <c r="B16" s="1">
        <v>3</v>
      </c>
      <c r="C16">
        <v>5833.4</v>
      </c>
      <c r="D16">
        <v>986.02</v>
      </c>
      <c r="E16">
        <v>13.3</v>
      </c>
      <c r="F16">
        <v>12.459</v>
      </c>
      <c r="G16">
        <v>14.32</v>
      </c>
      <c r="H16" t="s">
        <v>363</v>
      </c>
      <c r="I16" t="s">
        <v>363</v>
      </c>
      <c r="J16" t="s">
        <v>363</v>
      </c>
      <c r="K16" t="s">
        <v>363</v>
      </c>
      <c r="L16" t="s">
        <v>363</v>
      </c>
      <c r="M16" s="1">
        <v>0</v>
      </c>
      <c r="N16" s="1">
        <v>0</v>
      </c>
      <c r="O16" s="1">
        <v>1</v>
      </c>
      <c r="P16" s="1">
        <v>1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2:25" s="152" customFormat="1" ht="12.75">
      <c r="B17" s="1">
        <v>7</v>
      </c>
      <c r="C17">
        <v>12000</v>
      </c>
      <c r="D17">
        <v>470.23</v>
      </c>
      <c r="E17">
        <v>13.3</v>
      </c>
      <c r="F17">
        <v>12.46</v>
      </c>
      <c r="G17">
        <v>14.37</v>
      </c>
      <c r="H17">
        <v>0.15</v>
      </c>
      <c r="I17">
        <v>0.73</v>
      </c>
      <c r="J17">
        <v>69</v>
      </c>
      <c r="K17">
        <v>14.53</v>
      </c>
      <c r="L17" t="s">
        <v>363</v>
      </c>
      <c r="M17" s="1">
        <v>1</v>
      </c>
      <c r="N17" s="1">
        <v>0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v>0</v>
      </c>
      <c r="W17" s="151"/>
      <c r="X17" s="151"/>
      <c r="Y17" s="151"/>
    </row>
    <row r="18" spans="2:22" ht="12.75">
      <c r="B18" s="1">
        <v>10</v>
      </c>
      <c r="C18">
        <v>12000</v>
      </c>
      <c r="D18">
        <v>851.76</v>
      </c>
      <c r="E18">
        <v>13.3</v>
      </c>
      <c r="F18">
        <v>12.46</v>
      </c>
      <c r="G18">
        <v>14.37</v>
      </c>
      <c r="H18">
        <v>0.15</v>
      </c>
      <c r="I18">
        <v>0.73</v>
      </c>
      <c r="J18">
        <v>69</v>
      </c>
      <c r="K18">
        <v>3.25</v>
      </c>
      <c r="L18">
        <v>35.13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</row>
    <row r="19" spans="2:22" ht="12.75">
      <c r="B19" s="1">
        <v>8</v>
      </c>
      <c r="C19">
        <v>12000</v>
      </c>
      <c r="D19">
        <v>851.76</v>
      </c>
      <c r="E19">
        <v>13.3</v>
      </c>
      <c r="F19">
        <v>12.46</v>
      </c>
      <c r="G19">
        <v>14.37</v>
      </c>
      <c r="H19">
        <v>0.15</v>
      </c>
      <c r="I19">
        <v>0.74</v>
      </c>
      <c r="J19">
        <v>69</v>
      </c>
      <c r="K19">
        <v>0.17</v>
      </c>
      <c r="L19" t="s">
        <v>392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v>0</v>
      </c>
    </row>
    <row r="20" spans="2:22" ht="12.75">
      <c r="B20" s="1">
        <v>10</v>
      </c>
      <c r="C20">
        <v>12000</v>
      </c>
      <c r="D20">
        <v>851.7629</v>
      </c>
      <c r="E20">
        <v>13.3</v>
      </c>
      <c r="F20">
        <v>12.4588</v>
      </c>
      <c r="G20">
        <v>14.3742</v>
      </c>
      <c r="H20">
        <v>0.15</v>
      </c>
      <c r="I20">
        <v>0.7263</v>
      </c>
      <c r="J20">
        <v>69</v>
      </c>
      <c r="K20">
        <v>3.2481</v>
      </c>
      <c r="L20">
        <v>35.4635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</row>
    <row r="21" spans="2:22" ht="12.75">
      <c r="B21" s="1">
        <v>7</v>
      </c>
      <c r="C21">
        <v>12000</v>
      </c>
      <c r="D21">
        <v>851.76</v>
      </c>
      <c r="E21">
        <v>13.3</v>
      </c>
      <c r="F21">
        <v>12.46</v>
      </c>
      <c r="G21">
        <v>14.37</v>
      </c>
      <c r="H21">
        <v>0.15</v>
      </c>
      <c r="I21">
        <v>0.43</v>
      </c>
      <c r="J21">
        <v>69</v>
      </c>
      <c r="K21">
        <v>1.92</v>
      </c>
      <c r="L2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>
        <v>0</v>
      </c>
    </row>
    <row r="22" spans="2:22" ht="12.75">
      <c r="B22" s="1">
        <v>9</v>
      </c>
      <c r="C22">
        <v>12000</v>
      </c>
      <c r="D22">
        <v>851.76</v>
      </c>
      <c r="E22">
        <v>13.3</v>
      </c>
      <c r="F22">
        <v>12.46</v>
      </c>
      <c r="G22">
        <v>14.37</v>
      </c>
      <c r="H22">
        <v>0.15</v>
      </c>
      <c r="I22">
        <v>0.73</v>
      </c>
      <c r="J22">
        <v>69</v>
      </c>
      <c r="K22">
        <v>3.25</v>
      </c>
      <c r="L22">
        <v>-149.63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0</v>
      </c>
    </row>
    <row r="23" spans="2:22" ht="12.75">
      <c r="B23" s="1">
        <v>7</v>
      </c>
      <c r="C23">
        <v>12000</v>
      </c>
      <c r="D23">
        <v>814.86</v>
      </c>
      <c r="E23">
        <v>13.3</v>
      </c>
      <c r="F23">
        <v>12.46</v>
      </c>
      <c r="G23">
        <v>13.37</v>
      </c>
      <c r="H23">
        <v>0.15</v>
      </c>
      <c r="I23">
        <v>0.73</v>
      </c>
      <c r="J23">
        <v>69</v>
      </c>
      <c r="K23">
        <v>3.25</v>
      </c>
      <c r="L23">
        <v>-1.08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1</v>
      </c>
      <c r="U23" s="1">
        <v>1</v>
      </c>
      <c r="V23" s="1">
        <v>0</v>
      </c>
    </row>
    <row r="24" spans="2:22" ht="12.75">
      <c r="B24" s="1">
        <v>7</v>
      </c>
      <c r="C24">
        <v>6166.67</v>
      </c>
      <c r="D24">
        <v>470.72</v>
      </c>
      <c r="E24">
        <v>13.3</v>
      </c>
      <c r="F24">
        <v>12.46</v>
      </c>
      <c r="G24">
        <v>14.37</v>
      </c>
      <c r="H24">
        <v>0.15</v>
      </c>
      <c r="I24">
        <v>0.726292</v>
      </c>
      <c r="J24">
        <v>69</v>
      </c>
      <c r="K24">
        <v>3.248076</v>
      </c>
      <c r="L24">
        <v>-50</v>
      </c>
      <c r="M24" s="1">
        <v>0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0</v>
      </c>
    </row>
    <row r="25" spans="2:22" ht="12.75">
      <c r="B25" s="1">
        <v>10</v>
      </c>
      <c r="C25">
        <v>12000</v>
      </c>
      <c r="D25">
        <v>852</v>
      </c>
      <c r="E25">
        <v>13.3</v>
      </c>
      <c r="F25">
        <v>12.46</v>
      </c>
      <c r="G25">
        <v>14.37</v>
      </c>
      <c r="H25">
        <v>0.15</v>
      </c>
      <c r="I25">
        <v>0.73</v>
      </c>
      <c r="J25">
        <v>69</v>
      </c>
      <c r="K25">
        <v>3.25</v>
      </c>
      <c r="L25">
        <v>35.89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</row>
    <row r="26" spans="2:22" ht="12.75">
      <c r="B26" s="1">
        <v>10</v>
      </c>
      <c r="C26">
        <v>12000</v>
      </c>
      <c r="D26">
        <v>851.763</v>
      </c>
      <c r="E26">
        <v>13.3</v>
      </c>
      <c r="F26">
        <v>12.459</v>
      </c>
      <c r="G26">
        <v>14.374</v>
      </c>
      <c r="H26">
        <v>0.15</v>
      </c>
      <c r="I26">
        <v>0.726</v>
      </c>
      <c r="J26">
        <v>69</v>
      </c>
      <c r="K26">
        <v>3.248</v>
      </c>
      <c r="L26">
        <v>34.066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</row>
    <row r="27" spans="2:22" ht="12.75">
      <c r="B27" s="1">
        <v>8</v>
      </c>
      <c r="C27">
        <v>12000</v>
      </c>
      <c r="D27">
        <v>1199.79</v>
      </c>
      <c r="E27">
        <v>13.3</v>
      </c>
      <c r="F27">
        <v>12.459</v>
      </c>
      <c r="G27">
        <v>14.374</v>
      </c>
      <c r="H27">
        <v>0.15</v>
      </c>
      <c r="I27">
        <v>0.7263</v>
      </c>
      <c r="J27">
        <v>69</v>
      </c>
      <c r="K27">
        <v>3.2481</v>
      </c>
      <c r="L27">
        <v>-148.602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</row>
    <row r="28" spans="2:22" ht="12.75">
      <c r="B28" s="1">
        <v>9</v>
      </c>
      <c r="C28">
        <v>12000</v>
      </c>
      <c r="D28">
        <v>851.76</v>
      </c>
      <c r="E28">
        <v>13.3</v>
      </c>
      <c r="F28">
        <v>12.46</v>
      </c>
      <c r="G28">
        <v>13.56</v>
      </c>
      <c r="H28">
        <v>0.15</v>
      </c>
      <c r="I28">
        <v>0.73</v>
      </c>
      <c r="J28">
        <v>69</v>
      </c>
      <c r="K28">
        <v>3.25</v>
      </c>
      <c r="L28">
        <v>35.11</v>
      </c>
      <c r="M28" s="1">
        <v>1</v>
      </c>
      <c r="N28" s="1">
        <v>1</v>
      </c>
      <c r="O28" s="1">
        <v>1</v>
      </c>
      <c r="P28" s="1">
        <v>1</v>
      </c>
      <c r="Q28" s="1">
        <v>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</row>
    <row r="29" spans="2:22" ht="12.75">
      <c r="B29" s="1">
        <v>9</v>
      </c>
      <c r="C29">
        <v>12000</v>
      </c>
      <c r="D29">
        <v>881.19</v>
      </c>
      <c r="E29">
        <v>13.3</v>
      </c>
      <c r="F29">
        <v>12.46</v>
      </c>
      <c r="G29">
        <v>14.37</v>
      </c>
      <c r="H29">
        <v>0.15</v>
      </c>
      <c r="I29">
        <v>0.73</v>
      </c>
      <c r="J29">
        <v>69</v>
      </c>
      <c r="K29">
        <v>3.25</v>
      </c>
      <c r="L29">
        <v>34.71</v>
      </c>
      <c r="M29" s="1">
        <v>1</v>
      </c>
      <c r="N29" s="1">
        <v>0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</row>
    <row r="30" spans="2:22" ht="12.75">
      <c r="B30" s="1">
        <v>9</v>
      </c>
      <c r="C30">
        <v>12000</v>
      </c>
      <c r="D30">
        <v>1199.79</v>
      </c>
      <c r="E30">
        <v>13.3</v>
      </c>
      <c r="F30">
        <v>12.46</v>
      </c>
      <c r="G30">
        <v>14.37</v>
      </c>
      <c r="H30">
        <v>0.15</v>
      </c>
      <c r="I30">
        <v>0.73</v>
      </c>
      <c r="J30">
        <v>69</v>
      </c>
      <c r="K30">
        <v>3.25</v>
      </c>
      <c r="L30">
        <v>34.2</v>
      </c>
      <c r="M30" s="1">
        <v>1</v>
      </c>
      <c r="N30" s="1">
        <v>0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</row>
    <row r="31" spans="2:22" ht="12.75">
      <c r="B31" s="1">
        <v>9</v>
      </c>
      <c r="C31">
        <v>12000</v>
      </c>
      <c r="D31">
        <v>851.76</v>
      </c>
      <c r="E31">
        <v>13.3</v>
      </c>
      <c r="F31">
        <v>12.46</v>
      </c>
      <c r="G31">
        <v>14.37</v>
      </c>
      <c r="H31">
        <v>0.15</v>
      </c>
      <c r="I31">
        <v>0.726</v>
      </c>
      <c r="J31">
        <v>69</v>
      </c>
      <c r="K31">
        <v>3.249</v>
      </c>
      <c r="L31">
        <v>249.174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0</v>
      </c>
    </row>
    <row r="32" spans="2:22" ht="12.75">
      <c r="B32" s="1">
        <v>10</v>
      </c>
      <c r="C32">
        <v>12000</v>
      </c>
      <c r="D32">
        <v>851.76</v>
      </c>
      <c r="E32">
        <v>13.3</v>
      </c>
      <c r="F32">
        <v>12.46</v>
      </c>
      <c r="G32">
        <v>14.37</v>
      </c>
      <c r="H32">
        <v>0.15</v>
      </c>
      <c r="I32">
        <v>0.73</v>
      </c>
      <c r="J32">
        <v>69</v>
      </c>
      <c r="K32">
        <v>3.25</v>
      </c>
      <c r="L32">
        <v>34.49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</row>
    <row r="33" spans="2:22" ht="12.75">
      <c r="B33" s="1">
        <v>10</v>
      </c>
      <c r="C33">
        <v>12000</v>
      </c>
      <c r="D33">
        <v>851.76</v>
      </c>
      <c r="E33">
        <v>13.3</v>
      </c>
      <c r="F33">
        <v>12.46</v>
      </c>
      <c r="G33">
        <v>14.37</v>
      </c>
      <c r="H33">
        <v>0.15</v>
      </c>
      <c r="I33">
        <v>0.73</v>
      </c>
      <c r="J33">
        <v>69</v>
      </c>
      <c r="K33">
        <v>3.25</v>
      </c>
      <c r="L33">
        <v>34.19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</row>
    <row r="34" spans="2:22" ht="12.75">
      <c r="B34" s="1">
        <v>10</v>
      </c>
      <c r="C34">
        <v>12000</v>
      </c>
      <c r="D34">
        <v>851.76</v>
      </c>
      <c r="E34">
        <v>13.3</v>
      </c>
      <c r="F34">
        <v>12.46</v>
      </c>
      <c r="G34">
        <v>14.37</v>
      </c>
      <c r="H34">
        <v>0.15</v>
      </c>
      <c r="I34">
        <v>0.73</v>
      </c>
      <c r="J34">
        <v>69</v>
      </c>
      <c r="K34">
        <v>3.24</v>
      </c>
      <c r="L34">
        <v>34.43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</row>
    <row r="35" spans="2:22" ht="12.75">
      <c r="B35" s="1">
        <v>9</v>
      </c>
      <c r="C35">
        <v>12000</v>
      </c>
      <c r="D35">
        <v>1199.79</v>
      </c>
      <c r="E35">
        <v>13.3</v>
      </c>
      <c r="F35">
        <v>12.46</v>
      </c>
      <c r="G35">
        <v>14.37</v>
      </c>
      <c r="H35">
        <v>0.15</v>
      </c>
      <c r="I35">
        <v>0.73</v>
      </c>
      <c r="J35">
        <v>69</v>
      </c>
      <c r="K35">
        <v>3.25</v>
      </c>
      <c r="L35">
        <v>34.94</v>
      </c>
      <c r="M35" s="1">
        <v>1</v>
      </c>
      <c r="N35" s="1">
        <v>0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</row>
    <row r="36" spans="2:22" ht="12.75">
      <c r="B36" s="1">
        <v>6</v>
      </c>
      <c r="C36">
        <v>12000</v>
      </c>
      <c r="D36">
        <v>942.5</v>
      </c>
      <c r="E36">
        <v>13.3</v>
      </c>
      <c r="F36">
        <v>12.46</v>
      </c>
      <c r="G36">
        <v>14.37</v>
      </c>
      <c r="H36">
        <v>0.15</v>
      </c>
      <c r="I36">
        <v>0.29</v>
      </c>
      <c r="J36">
        <v>69</v>
      </c>
      <c r="K36">
        <v>1.29</v>
      </c>
      <c r="L36" t="s">
        <v>363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0</v>
      </c>
      <c r="V36" s="1">
        <v>0</v>
      </c>
    </row>
    <row r="37" spans="2:22" ht="12.75">
      <c r="B37" s="1">
        <v>6</v>
      </c>
      <c r="C37">
        <v>11703</v>
      </c>
      <c r="D37">
        <v>1152</v>
      </c>
      <c r="E37">
        <v>13.3</v>
      </c>
      <c r="F37">
        <v>12.46</v>
      </c>
      <c r="G37">
        <v>14.37</v>
      </c>
      <c r="H37">
        <v>0.15</v>
      </c>
      <c r="I37">
        <v>0.73</v>
      </c>
      <c r="J37">
        <v>69</v>
      </c>
      <c r="K37">
        <v>3.81</v>
      </c>
      <c r="L37">
        <v>-50</v>
      </c>
      <c r="M37" s="1">
        <v>0</v>
      </c>
      <c r="N37" s="1">
        <v>0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0</v>
      </c>
      <c r="V37" s="1">
        <v>0</v>
      </c>
    </row>
    <row r="38" spans="2:22" ht="12.75">
      <c r="B38" s="1">
        <v>10</v>
      </c>
      <c r="C38">
        <v>12000</v>
      </c>
      <c r="D38">
        <v>851.76</v>
      </c>
      <c r="E38">
        <v>13.3</v>
      </c>
      <c r="F38">
        <v>12.46</v>
      </c>
      <c r="G38">
        <v>14.37</v>
      </c>
      <c r="H38">
        <v>0.15</v>
      </c>
      <c r="I38">
        <v>0.73</v>
      </c>
      <c r="J38">
        <v>69</v>
      </c>
      <c r="K38">
        <v>3.25</v>
      </c>
      <c r="L38">
        <v>35.1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</row>
    <row r="39" spans="2:22" ht="12.75">
      <c r="B39" s="1">
        <v>8</v>
      </c>
      <c r="C39">
        <v>12000</v>
      </c>
      <c r="D39">
        <v>851.76</v>
      </c>
      <c r="E39">
        <v>13.3</v>
      </c>
      <c r="F39">
        <v>12.46</v>
      </c>
      <c r="G39">
        <v>14.37</v>
      </c>
      <c r="H39">
        <v>0.15</v>
      </c>
      <c r="I39">
        <v>0.62</v>
      </c>
      <c r="J39">
        <v>69</v>
      </c>
      <c r="K39">
        <v>12.49</v>
      </c>
      <c r="L39">
        <v>34.05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0</v>
      </c>
      <c r="T39" s="1">
        <v>1</v>
      </c>
      <c r="U39" s="1">
        <v>0</v>
      </c>
      <c r="V39" s="1">
        <v>1</v>
      </c>
    </row>
    <row r="40" spans="2:22" ht="12.75">
      <c r="B40" s="1">
        <v>8</v>
      </c>
      <c r="C40">
        <v>12000</v>
      </c>
      <c r="D40">
        <v>851.76</v>
      </c>
      <c r="E40">
        <v>13.3</v>
      </c>
      <c r="F40">
        <v>12.459</v>
      </c>
      <c r="G40">
        <v>14.374</v>
      </c>
      <c r="H40">
        <v>0.15</v>
      </c>
      <c r="I40">
        <v>0.5275</v>
      </c>
      <c r="J40">
        <v>69</v>
      </c>
      <c r="K40">
        <v>2.359</v>
      </c>
      <c r="L40">
        <v>35.146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0</v>
      </c>
      <c r="T40" s="1">
        <v>1</v>
      </c>
      <c r="U40" s="1">
        <v>0</v>
      </c>
      <c r="V40" s="1">
        <v>1</v>
      </c>
    </row>
    <row r="41" spans="2:22" ht="12.75">
      <c r="B41" s="1">
        <v>6</v>
      </c>
      <c r="C41">
        <v>6000</v>
      </c>
      <c r="D41">
        <v>425.88</v>
      </c>
      <c r="E41">
        <v>13.3</v>
      </c>
      <c r="F41">
        <v>12.46</v>
      </c>
      <c r="G41">
        <v>14.37</v>
      </c>
      <c r="H41">
        <v>0.15</v>
      </c>
      <c r="I41">
        <v>0.73</v>
      </c>
      <c r="J41">
        <v>69</v>
      </c>
      <c r="K41">
        <v>0.73</v>
      </c>
      <c r="L41">
        <v>0</v>
      </c>
      <c r="M41" s="1">
        <v>0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0</v>
      </c>
      <c r="V41" s="1">
        <v>0</v>
      </c>
    </row>
    <row r="42" spans="2:22" ht="12.75">
      <c r="B42" s="1">
        <v>8</v>
      </c>
      <c r="C42">
        <v>12000</v>
      </c>
      <c r="D42">
        <v>851.76</v>
      </c>
      <c r="E42">
        <v>13.3</v>
      </c>
      <c r="F42">
        <v>12.46</v>
      </c>
      <c r="G42">
        <v>14.37</v>
      </c>
      <c r="H42">
        <v>0.15</v>
      </c>
      <c r="I42">
        <v>0.73</v>
      </c>
      <c r="J42">
        <v>69</v>
      </c>
      <c r="K42">
        <v>0.73</v>
      </c>
      <c r="L42">
        <v>-50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0</v>
      </c>
      <c r="V42" s="1">
        <v>0</v>
      </c>
    </row>
    <row r="43" spans="2:22" ht="12.75">
      <c r="B43" s="1">
        <v>9</v>
      </c>
      <c r="C43">
        <v>12000</v>
      </c>
      <c r="D43">
        <v>851.7629</v>
      </c>
      <c r="E43">
        <v>13.3</v>
      </c>
      <c r="F43">
        <v>12.46</v>
      </c>
      <c r="G43">
        <v>14.32</v>
      </c>
      <c r="H43">
        <v>0.15</v>
      </c>
      <c r="I43">
        <v>0.7263</v>
      </c>
      <c r="J43">
        <v>69</v>
      </c>
      <c r="K43">
        <v>3.25</v>
      </c>
      <c r="L43">
        <v>239.43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0</v>
      </c>
    </row>
    <row r="44" spans="2:22" ht="12.75">
      <c r="B44" s="1">
        <v>9</v>
      </c>
      <c r="C44">
        <v>12000</v>
      </c>
      <c r="D44">
        <v>851.763</v>
      </c>
      <c r="E44">
        <v>13.3</v>
      </c>
      <c r="F44">
        <v>12.46</v>
      </c>
      <c r="G44">
        <v>14.374</v>
      </c>
      <c r="H44">
        <v>0.15</v>
      </c>
      <c r="I44">
        <v>0.73</v>
      </c>
      <c r="J44">
        <v>69</v>
      </c>
      <c r="K44">
        <v>3.25</v>
      </c>
      <c r="L44">
        <v>450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0</v>
      </c>
    </row>
    <row r="45" spans="2:22" ht="12.75">
      <c r="B45" s="1">
        <v>10</v>
      </c>
      <c r="C45">
        <v>12000</v>
      </c>
      <c r="D45">
        <v>851.76</v>
      </c>
      <c r="E45">
        <v>13.3</v>
      </c>
      <c r="F45">
        <v>12.46</v>
      </c>
      <c r="G45">
        <v>14.37</v>
      </c>
      <c r="H45">
        <v>0.15</v>
      </c>
      <c r="I45">
        <v>0.7263</v>
      </c>
      <c r="J45">
        <v>69</v>
      </c>
      <c r="K45">
        <v>3.248</v>
      </c>
      <c r="L45">
        <v>35.386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</row>
    <row r="46" spans="2:22" ht="12.75">
      <c r="B46" s="1">
        <v>0</v>
      </c>
      <c r="C46"/>
      <c r="D46"/>
      <c r="E46"/>
      <c r="F46"/>
      <c r="G46"/>
      <c r="H46"/>
      <c r="I46"/>
      <c r="J46"/>
      <c r="K46"/>
      <c r="L46"/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2:22" ht="12.75">
      <c r="B47" s="1">
        <v>9</v>
      </c>
      <c r="C47">
        <v>12000</v>
      </c>
      <c r="D47">
        <v>851.76</v>
      </c>
      <c r="E47">
        <v>13.3</v>
      </c>
      <c r="F47">
        <v>12.46</v>
      </c>
      <c r="G47">
        <v>14.37</v>
      </c>
      <c r="H47">
        <v>0.15</v>
      </c>
      <c r="I47">
        <v>0.77</v>
      </c>
      <c r="J47">
        <v>69</v>
      </c>
      <c r="K47">
        <v>3.25</v>
      </c>
      <c r="L47">
        <v>35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0</v>
      </c>
      <c r="T47" s="1">
        <v>1</v>
      </c>
      <c r="U47" s="1">
        <v>1</v>
      </c>
      <c r="V47" s="1">
        <v>1</v>
      </c>
    </row>
    <row r="48" spans="2:22" ht="12.75">
      <c r="B48" s="1">
        <v>9</v>
      </c>
      <c r="C48">
        <v>12000</v>
      </c>
      <c r="D48">
        <v>851.763</v>
      </c>
      <c r="E48">
        <v>13.3</v>
      </c>
      <c r="F48">
        <v>12.46</v>
      </c>
      <c r="G48">
        <v>14.37</v>
      </c>
      <c r="H48">
        <v>0.15</v>
      </c>
      <c r="I48">
        <v>0.726</v>
      </c>
      <c r="J48">
        <v>69</v>
      </c>
      <c r="K48">
        <v>3.248</v>
      </c>
      <c r="L48">
        <v>8.736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0</v>
      </c>
    </row>
    <row r="49" spans="2:22" ht="12.75">
      <c r="B49" s="1">
        <v>9</v>
      </c>
      <c r="C49">
        <v>12000</v>
      </c>
      <c r="D49">
        <v>851.76</v>
      </c>
      <c r="E49">
        <v>13.3</v>
      </c>
      <c r="F49">
        <v>12.46</v>
      </c>
      <c r="G49">
        <v>14.37</v>
      </c>
      <c r="H49">
        <v>0.15</v>
      </c>
      <c r="I49">
        <v>0.73</v>
      </c>
      <c r="J49">
        <v>69</v>
      </c>
      <c r="K49">
        <v>3.25</v>
      </c>
      <c r="L49">
        <v>9.7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0</v>
      </c>
    </row>
    <row r="50" spans="2:22" ht="12.75">
      <c r="B50" s="1">
        <v>9</v>
      </c>
      <c r="C50">
        <v>12000</v>
      </c>
      <c r="D50">
        <v>851.76</v>
      </c>
      <c r="E50">
        <v>13.3</v>
      </c>
      <c r="F50">
        <v>12.46</v>
      </c>
      <c r="G50">
        <v>14.37</v>
      </c>
      <c r="H50">
        <v>0.15</v>
      </c>
      <c r="I50">
        <v>0.73</v>
      </c>
      <c r="J50">
        <v>69</v>
      </c>
      <c r="K50">
        <v>3.25</v>
      </c>
      <c r="L50">
        <v>62.36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0</v>
      </c>
    </row>
    <row r="51" spans="2:22" ht="12.75">
      <c r="B51" s="1">
        <v>6</v>
      </c>
      <c r="C51">
        <v>12000</v>
      </c>
      <c r="D51">
        <v>851.7629</v>
      </c>
      <c r="E51">
        <v>13.3</v>
      </c>
      <c r="F51">
        <v>12.459</v>
      </c>
      <c r="G51">
        <v>16.648</v>
      </c>
      <c r="H51">
        <v>0.15</v>
      </c>
      <c r="I51">
        <v>0.42</v>
      </c>
      <c r="J51">
        <v>3</v>
      </c>
      <c r="K51">
        <v>1.88</v>
      </c>
      <c r="L51">
        <v>150</v>
      </c>
      <c r="M51" s="1">
        <v>1</v>
      </c>
      <c r="N51" s="1">
        <v>1</v>
      </c>
      <c r="O51" s="1">
        <v>1</v>
      </c>
      <c r="P51" s="1">
        <v>1</v>
      </c>
      <c r="Q51" s="1">
        <v>0</v>
      </c>
      <c r="R51" s="1">
        <v>1</v>
      </c>
      <c r="S51" s="1">
        <v>0</v>
      </c>
      <c r="T51" s="1">
        <v>1</v>
      </c>
      <c r="U51" s="1">
        <v>0</v>
      </c>
      <c r="V51" s="1">
        <v>0</v>
      </c>
    </row>
    <row r="52" spans="2:22" ht="12.75">
      <c r="B52" s="1">
        <v>8</v>
      </c>
      <c r="C52">
        <v>12000</v>
      </c>
      <c r="D52">
        <v>851.7629</v>
      </c>
      <c r="E52">
        <v>13.3</v>
      </c>
      <c r="F52">
        <v>12.46</v>
      </c>
      <c r="G52">
        <v>15.72</v>
      </c>
      <c r="H52">
        <v>0.15</v>
      </c>
      <c r="I52">
        <v>0.7263</v>
      </c>
      <c r="J52">
        <v>69</v>
      </c>
      <c r="K52">
        <v>3.811</v>
      </c>
      <c r="L52">
        <v>34.72</v>
      </c>
      <c r="M52" s="1">
        <v>1</v>
      </c>
      <c r="N52" s="1">
        <v>1</v>
      </c>
      <c r="O52" s="1">
        <v>1</v>
      </c>
      <c r="P52" s="1">
        <v>1</v>
      </c>
      <c r="Q52" s="1">
        <v>0</v>
      </c>
      <c r="R52" s="1">
        <v>1</v>
      </c>
      <c r="S52" s="1">
        <v>1</v>
      </c>
      <c r="T52" s="1">
        <v>1</v>
      </c>
      <c r="U52" s="1">
        <v>0</v>
      </c>
      <c r="V52" s="1">
        <v>1</v>
      </c>
    </row>
    <row r="53" spans="2:25" s="153" customFormat="1" ht="12.75">
      <c r="B53" s="1">
        <v>8</v>
      </c>
      <c r="C53">
        <v>12000</v>
      </c>
      <c r="D53">
        <v>735.69</v>
      </c>
      <c r="E53">
        <v>13.3</v>
      </c>
      <c r="F53">
        <v>12.46</v>
      </c>
      <c r="G53">
        <v>14.374</v>
      </c>
      <c r="H53">
        <v>0.15</v>
      </c>
      <c r="I53">
        <v>0.7262</v>
      </c>
      <c r="J53">
        <v>69</v>
      </c>
      <c r="K53">
        <v>3.25</v>
      </c>
      <c r="L53" t="s">
        <v>363</v>
      </c>
      <c r="M53" s="1">
        <v>1</v>
      </c>
      <c r="N53" s="1">
        <v>0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0</v>
      </c>
      <c r="W53" s="155"/>
      <c r="X53" s="155"/>
      <c r="Y53" s="155"/>
    </row>
    <row r="54" spans="2:22" ht="12.75">
      <c r="B54" s="1">
        <v>6</v>
      </c>
      <c r="C54">
        <v>12057.24</v>
      </c>
      <c r="D54">
        <v>851.76</v>
      </c>
      <c r="E54">
        <v>13.3</v>
      </c>
      <c r="F54">
        <v>12.46</v>
      </c>
      <c r="G54">
        <v>14.37</v>
      </c>
      <c r="H54">
        <v>0.15</v>
      </c>
      <c r="I54">
        <v>0.73</v>
      </c>
      <c r="J54">
        <v>76.55</v>
      </c>
      <c r="K54">
        <v>0.73</v>
      </c>
      <c r="L54">
        <v>605</v>
      </c>
      <c r="M54" s="1">
        <v>0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0</v>
      </c>
      <c r="U54" s="1">
        <v>0</v>
      </c>
      <c r="V54" s="1">
        <v>0</v>
      </c>
    </row>
    <row r="55" spans="2:22" ht="12.75">
      <c r="B55" s="1">
        <v>10</v>
      </c>
      <c r="C55">
        <v>12000</v>
      </c>
      <c r="D55">
        <v>851.76</v>
      </c>
      <c r="E55">
        <v>13.3</v>
      </c>
      <c r="F55">
        <v>12.46</v>
      </c>
      <c r="G55">
        <v>14.37</v>
      </c>
      <c r="H55">
        <v>0.15</v>
      </c>
      <c r="I55">
        <v>0.73</v>
      </c>
      <c r="J55">
        <v>69</v>
      </c>
      <c r="K55">
        <v>3.25</v>
      </c>
      <c r="L55">
        <v>34.14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</row>
    <row r="56" spans="2:22" ht="12.75">
      <c r="B56" s="1">
        <v>9</v>
      </c>
      <c r="C56">
        <v>12000</v>
      </c>
      <c r="D56">
        <v>851.76</v>
      </c>
      <c r="E56">
        <v>13.3</v>
      </c>
      <c r="F56">
        <v>12.25</v>
      </c>
      <c r="G56">
        <v>14.4</v>
      </c>
      <c r="H56">
        <v>0.15</v>
      </c>
      <c r="I56">
        <v>0.73</v>
      </c>
      <c r="J56">
        <v>69</v>
      </c>
      <c r="K56">
        <v>3.25</v>
      </c>
      <c r="L56">
        <v>8.89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0</v>
      </c>
    </row>
    <row r="57" spans="2:22" ht="12.75">
      <c r="B57" s="1">
        <v>9</v>
      </c>
      <c r="C57">
        <v>12000</v>
      </c>
      <c r="D57">
        <v>851.763</v>
      </c>
      <c r="E57">
        <v>13.3</v>
      </c>
      <c r="F57">
        <v>12.459</v>
      </c>
      <c r="G57">
        <v>14.374</v>
      </c>
      <c r="H57">
        <v>0.15</v>
      </c>
      <c r="I57">
        <v>0.73</v>
      </c>
      <c r="J57">
        <v>69</v>
      </c>
      <c r="K57">
        <v>3.25</v>
      </c>
      <c r="L57">
        <v>0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0</v>
      </c>
    </row>
    <row r="58" spans="2:22" ht="12.75">
      <c r="B58" s="1">
        <v>10</v>
      </c>
      <c r="C58">
        <v>12000</v>
      </c>
      <c r="D58">
        <v>851.76</v>
      </c>
      <c r="E58">
        <v>13.3</v>
      </c>
      <c r="F58">
        <v>12.46</v>
      </c>
      <c r="G58">
        <v>14.37</v>
      </c>
      <c r="H58">
        <v>0.15</v>
      </c>
      <c r="I58">
        <v>0.73</v>
      </c>
      <c r="J58">
        <v>69</v>
      </c>
      <c r="K58">
        <v>3.25</v>
      </c>
      <c r="L58">
        <v>34.69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</row>
    <row r="59" spans="2:22" ht="12.75">
      <c r="B59" s="1">
        <v>10</v>
      </c>
      <c r="C59">
        <v>12000</v>
      </c>
      <c r="D59">
        <v>851.76</v>
      </c>
      <c r="E59">
        <v>13.3</v>
      </c>
      <c r="F59">
        <v>12.46</v>
      </c>
      <c r="G59">
        <v>14.37</v>
      </c>
      <c r="H59">
        <v>0.15</v>
      </c>
      <c r="I59">
        <v>0.73</v>
      </c>
      <c r="J59">
        <v>69</v>
      </c>
      <c r="K59">
        <v>3.25</v>
      </c>
      <c r="L59">
        <v>33.46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</row>
    <row r="60" spans="2:22" ht="12.75">
      <c r="B60" s="1">
        <v>10</v>
      </c>
      <c r="C60">
        <v>12000</v>
      </c>
      <c r="D60">
        <v>851.76</v>
      </c>
      <c r="E60">
        <v>13.3</v>
      </c>
      <c r="F60">
        <v>12.46</v>
      </c>
      <c r="G60">
        <v>14.37</v>
      </c>
      <c r="H60">
        <v>0.15</v>
      </c>
      <c r="I60">
        <v>0.73</v>
      </c>
      <c r="J60">
        <v>69</v>
      </c>
      <c r="K60">
        <v>3.25</v>
      </c>
      <c r="L60">
        <v>34.64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</row>
    <row r="61" spans="2:22" ht="12.75">
      <c r="B61" s="1">
        <v>9</v>
      </c>
      <c r="C61">
        <v>12000</v>
      </c>
      <c r="D61">
        <v>851.76</v>
      </c>
      <c r="E61">
        <v>13.3</v>
      </c>
      <c r="F61">
        <v>12.46</v>
      </c>
      <c r="G61">
        <v>14.95</v>
      </c>
      <c r="H61">
        <v>0.15</v>
      </c>
      <c r="I61">
        <v>0.73</v>
      </c>
      <c r="J61">
        <v>69</v>
      </c>
      <c r="K61">
        <v>3.25</v>
      </c>
      <c r="L61">
        <v>34</v>
      </c>
      <c r="M61" s="1">
        <v>1</v>
      </c>
      <c r="N61" s="1">
        <v>1</v>
      </c>
      <c r="O61" s="1">
        <v>1</v>
      </c>
      <c r="P61" s="1">
        <v>1</v>
      </c>
      <c r="Q61" s="1">
        <v>0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</row>
    <row r="62" spans="2:22" ht="12.75">
      <c r="B62" s="1">
        <v>4</v>
      </c>
      <c r="C62">
        <v>7800</v>
      </c>
      <c r="D62">
        <v>746</v>
      </c>
      <c r="E62">
        <v>13.3</v>
      </c>
      <c r="F62">
        <v>16.85</v>
      </c>
      <c r="G62">
        <v>11.7</v>
      </c>
      <c r="H62">
        <v>0.15</v>
      </c>
      <c r="I62">
        <v>0.15</v>
      </c>
      <c r="J62">
        <v>69</v>
      </c>
      <c r="K62">
        <v>3</v>
      </c>
      <c r="L62" t="s">
        <v>363</v>
      </c>
      <c r="M62" s="1">
        <v>0</v>
      </c>
      <c r="N62" s="1">
        <v>0</v>
      </c>
      <c r="O62" s="1">
        <v>1</v>
      </c>
      <c r="P62" s="1">
        <v>1</v>
      </c>
      <c r="Q62" s="1">
        <v>0</v>
      </c>
      <c r="R62" s="1">
        <v>1</v>
      </c>
      <c r="S62" s="1">
        <v>0</v>
      </c>
      <c r="T62" s="1">
        <v>1</v>
      </c>
      <c r="U62" s="1">
        <v>0</v>
      </c>
      <c r="V62" s="1">
        <v>0</v>
      </c>
    </row>
    <row r="63" spans="2:22" ht="12.75">
      <c r="B63" s="1">
        <v>10</v>
      </c>
      <c r="C63">
        <v>12000</v>
      </c>
      <c r="D63">
        <v>851.763</v>
      </c>
      <c r="E63">
        <v>0.133</v>
      </c>
      <c r="F63">
        <v>12.459</v>
      </c>
      <c r="G63">
        <v>14.374</v>
      </c>
      <c r="H63">
        <v>0.15</v>
      </c>
      <c r="I63">
        <v>0.726</v>
      </c>
      <c r="J63">
        <v>69</v>
      </c>
      <c r="K63">
        <v>3.248</v>
      </c>
      <c r="L63">
        <v>35.784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</row>
    <row r="64" spans="2:22" ht="12.75">
      <c r="B64" s="1">
        <v>10</v>
      </c>
      <c r="C64">
        <v>12000</v>
      </c>
      <c r="D64">
        <v>851.76</v>
      </c>
      <c r="E64">
        <v>13.3</v>
      </c>
      <c r="F64">
        <v>12.46</v>
      </c>
      <c r="G64">
        <v>14.37</v>
      </c>
      <c r="H64">
        <v>0.15</v>
      </c>
      <c r="I64">
        <v>0.73</v>
      </c>
      <c r="J64">
        <v>69</v>
      </c>
      <c r="K64">
        <v>3.25</v>
      </c>
      <c r="L64">
        <v>34.89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</row>
    <row r="65" spans="3:12" ht="12.75">
      <c r="C65"/>
      <c r="D65"/>
      <c r="E65"/>
      <c r="F65"/>
      <c r="G65"/>
      <c r="H65"/>
      <c r="I65"/>
      <c r="J65"/>
      <c r="K65"/>
      <c r="L65"/>
    </row>
    <row r="66" spans="3:12" ht="12.75">
      <c r="C66"/>
      <c r="D66"/>
      <c r="E66"/>
      <c r="F66"/>
      <c r="G66"/>
      <c r="H66"/>
      <c r="I66"/>
      <c r="J66"/>
      <c r="K66"/>
      <c r="L66"/>
    </row>
    <row r="67" spans="3:12" ht="12.75">
      <c r="C67"/>
      <c r="D67"/>
      <c r="E67"/>
      <c r="F67"/>
      <c r="G67"/>
      <c r="H67"/>
      <c r="I67"/>
      <c r="J67"/>
      <c r="K67"/>
      <c r="L67"/>
    </row>
    <row r="68" spans="3:12" ht="12.75">
      <c r="C68"/>
      <c r="D68"/>
      <c r="E68"/>
      <c r="F68"/>
      <c r="G68"/>
      <c r="H68"/>
      <c r="I68"/>
      <c r="J68"/>
      <c r="K68"/>
      <c r="L68"/>
    </row>
    <row r="69" spans="3:12" ht="12.75">
      <c r="C69"/>
      <c r="D69"/>
      <c r="E69"/>
      <c r="F69"/>
      <c r="G69"/>
      <c r="H69"/>
      <c r="I69"/>
      <c r="J69"/>
      <c r="K69"/>
      <c r="L69"/>
    </row>
    <row r="70" spans="3:12" ht="12.75">
      <c r="C70"/>
      <c r="D70"/>
      <c r="E70"/>
      <c r="F70"/>
      <c r="G70"/>
      <c r="H70"/>
      <c r="I70"/>
      <c r="J70"/>
      <c r="K70"/>
      <c r="L70"/>
    </row>
    <row r="71" spans="3:12" ht="12.75">
      <c r="C71"/>
      <c r="D71"/>
      <c r="E71"/>
      <c r="F71"/>
      <c r="G71"/>
      <c r="H71"/>
      <c r="I71"/>
      <c r="J71"/>
      <c r="K71"/>
      <c r="L71"/>
    </row>
    <row r="72" spans="3:12" ht="12.75">
      <c r="C72"/>
      <c r="D72"/>
      <c r="E72"/>
      <c r="F72"/>
      <c r="G72"/>
      <c r="H72"/>
      <c r="I72"/>
      <c r="J72"/>
      <c r="K72"/>
      <c r="L72"/>
    </row>
    <row r="73" spans="3:12" ht="12.75">
      <c r="C73"/>
      <c r="D73"/>
      <c r="E73"/>
      <c r="F73"/>
      <c r="G73"/>
      <c r="H73"/>
      <c r="I73"/>
      <c r="J73"/>
      <c r="K73"/>
      <c r="L73"/>
    </row>
    <row r="74" spans="3:12" ht="12.75">
      <c r="C74"/>
      <c r="D74"/>
      <c r="E74"/>
      <c r="F74"/>
      <c r="G74"/>
      <c r="H74"/>
      <c r="I74"/>
      <c r="J74"/>
      <c r="K74"/>
      <c r="L74"/>
    </row>
    <row r="75" spans="3:12" ht="12.75">
      <c r="C75"/>
      <c r="D75"/>
      <c r="E75"/>
      <c r="F75"/>
      <c r="G75"/>
      <c r="H75"/>
      <c r="I75"/>
      <c r="J75"/>
      <c r="K75"/>
      <c r="L75"/>
    </row>
    <row r="76" spans="3:12" ht="12.75">
      <c r="C76"/>
      <c r="D76"/>
      <c r="E76"/>
      <c r="F76"/>
      <c r="G76"/>
      <c r="H76"/>
      <c r="I76"/>
      <c r="J76"/>
      <c r="K76"/>
      <c r="L76"/>
    </row>
    <row r="77" spans="3:12" ht="12.75">
      <c r="C77"/>
      <c r="D77"/>
      <c r="E77"/>
      <c r="F77"/>
      <c r="G77"/>
      <c r="H77"/>
      <c r="I77"/>
      <c r="J77"/>
      <c r="K77"/>
      <c r="L77"/>
    </row>
    <row r="78" spans="3:12" ht="12.75">
      <c r="C78"/>
      <c r="D78"/>
      <c r="E78"/>
      <c r="F78"/>
      <c r="G78"/>
      <c r="H78"/>
      <c r="I78"/>
      <c r="J78"/>
      <c r="K78"/>
      <c r="L78"/>
    </row>
    <row r="79" spans="3:12" ht="12.75">
      <c r="C79"/>
      <c r="D79"/>
      <c r="E79"/>
      <c r="F79"/>
      <c r="G79"/>
      <c r="H79"/>
      <c r="I79"/>
      <c r="J79"/>
      <c r="K79"/>
      <c r="L79"/>
    </row>
    <row r="80" spans="3:12" ht="12.75">
      <c r="C80"/>
      <c r="D80"/>
      <c r="E80"/>
      <c r="F80"/>
      <c r="G80"/>
      <c r="H80"/>
      <c r="I80"/>
      <c r="J80"/>
      <c r="K80"/>
      <c r="L80"/>
    </row>
    <row r="81" spans="3:12" ht="12.75">
      <c r="C81"/>
      <c r="D81"/>
      <c r="E81"/>
      <c r="F81"/>
      <c r="G81"/>
      <c r="H81"/>
      <c r="I81"/>
      <c r="J81"/>
      <c r="K81"/>
      <c r="L81"/>
    </row>
    <row r="82" spans="3:12" ht="12.75">
      <c r="C82"/>
      <c r="D82"/>
      <c r="E82"/>
      <c r="F82"/>
      <c r="G82"/>
      <c r="H82"/>
      <c r="I82"/>
      <c r="J82"/>
      <c r="K82"/>
      <c r="L82"/>
    </row>
    <row r="83" spans="3:12" ht="12.75">
      <c r="C83"/>
      <c r="D83"/>
      <c r="E83"/>
      <c r="F83"/>
      <c r="G83"/>
      <c r="H83"/>
      <c r="I83"/>
      <c r="J83"/>
      <c r="K83"/>
      <c r="L83"/>
    </row>
    <row r="84" spans="3:12" ht="12.75">
      <c r="C84"/>
      <c r="D84"/>
      <c r="E84"/>
      <c r="F84"/>
      <c r="G84"/>
      <c r="H84"/>
      <c r="I84"/>
      <c r="J84"/>
      <c r="K84"/>
      <c r="L84"/>
    </row>
    <row r="85" spans="3:12" ht="12.75">
      <c r="C85"/>
      <c r="D85"/>
      <c r="E85"/>
      <c r="F85"/>
      <c r="G85"/>
      <c r="H85"/>
      <c r="I85"/>
      <c r="J85"/>
      <c r="K85"/>
      <c r="L85"/>
    </row>
    <row r="86" spans="3:12" ht="12.75">
      <c r="C86"/>
      <c r="D86"/>
      <c r="E86"/>
      <c r="F86"/>
      <c r="G86"/>
      <c r="H86"/>
      <c r="I86"/>
      <c r="J86"/>
      <c r="K86"/>
      <c r="L86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P13"/>
  <sheetViews>
    <sheetView zoomScalePageLayoutView="0" workbookViewId="0" topLeftCell="A1">
      <selection activeCell="B2" sqref="B2"/>
    </sheetView>
  </sheetViews>
  <sheetFormatPr defaultColWidth="9.140625" defaultRowHeight="12.75"/>
  <sheetData>
    <row r="2" spans="2:15" ht="12.75">
      <c r="B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2:15" ht="12.75">
      <c r="B3" s="1">
        <f>SUM(C9:O9)</f>
        <v>51</v>
      </c>
      <c r="D3" s="1">
        <v>45</v>
      </c>
      <c r="E3" s="1">
        <v>36</v>
      </c>
      <c r="F3" s="1">
        <v>51</v>
      </c>
      <c r="G3" s="1">
        <v>51</v>
      </c>
      <c r="H3" s="1">
        <v>44</v>
      </c>
      <c r="I3" s="1">
        <v>50</v>
      </c>
      <c r="J3" s="1">
        <v>42</v>
      </c>
      <c r="K3" s="1">
        <v>49</v>
      </c>
      <c r="L3" s="1">
        <v>36</v>
      </c>
      <c r="M3" s="1">
        <v>24</v>
      </c>
      <c r="N3" s="1">
        <v>0</v>
      </c>
      <c r="O3" s="1">
        <v>0</v>
      </c>
    </row>
    <row r="4" spans="4:15" ht="12.75">
      <c r="D4" s="2">
        <f aca="true" t="shared" si="0" ref="D4:O4">D3/$B$3</f>
        <v>0.8823529411764706</v>
      </c>
      <c r="E4" s="2">
        <f t="shared" si="0"/>
        <v>0.7058823529411765</v>
      </c>
      <c r="F4" s="2">
        <f t="shared" si="0"/>
        <v>1</v>
      </c>
      <c r="G4" s="2">
        <f t="shared" si="0"/>
        <v>1</v>
      </c>
      <c r="H4" s="2">
        <f t="shared" si="0"/>
        <v>0.8627450980392157</v>
      </c>
      <c r="I4" s="2">
        <f t="shared" si="0"/>
        <v>0.9803921568627451</v>
      </c>
      <c r="J4" s="2">
        <f t="shared" si="0"/>
        <v>0.8235294117647058</v>
      </c>
      <c r="K4" s="2">
        <f t="shared" si="0"/>
        <v>0.9607843137254902</v>
      </c>
      <c r="L4" s="2">
        <f t="shared" si="0"/>
        <v>0.7058823529411765</v>
      </c>
      <c r="M4" s="2">
        <f t="shared" si="0"/>
        <v>0.47058823529411764</v>
      </c>
      <c r="N4" s="2">
        <f t="shared" si="0"/>
        <v>0</v>
      </c>
      <c r="O4" s="2">
        <f t="shared" si="0"/>
        <v>0</v>
      </c>
    </row>
    <row r="5" spans="4:14" ht="12.7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2:15" ht="12.75">
      <c r="B7" s="3" t="s">
        <v>13</v>
      </c>
      <c r="C7" s="3" t="s">
        <v>14</v>
      </c>
      <c r="D7" s="3" t="s">
        <v>15</v>
      </c>
      <c r="E7" s="3" t="s">
        <v>16</v>
      </c>
      <c r="F7" s="3" t="s">
        <v>388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21</v>
      </c>
      <c r="L7" s="3" t="s">
        <v>22</v>
      </c>
      <c r="M7" s="3" t="s">
        <v>23</v>
      </c>
      <c r="N7" s="3" t="s">
        <v>24</v>
      </c>
      <c r="O7" s="3" t="s">
        <v>25</v>
      </c>
    </row>
    <row r="8" ht="12.75"/>
    <row r="9" spans="2:15" ht="12.75">
      <c r="B9" s="4">
        <v>3</v>
      </c>
      <c r="C9" s="4">
        <v>0</v>
      </c>
      <c r="D9" s="4">
        <v>0</v>
      </c>
      <c r="E9" s="154">
        <v>0</v>
      </c>
      <c r="F9" s="154">
        <v>1</v>
      </c>
      <c r="G9" s="154">
        <v>1</v>
      </c>
      <c r="H9" s="154">
        <v>0</v>
      </c>
      <c r="I9" s="154">
        <v>6</v>
      </c>
      <c r="J9" s="154">
        <v>4</v>
      </c>
      <c r="K9" s="154">
        <v>9</v>
      </c>
      <c r="L9" s="154">
        <v>15</v>
      </c>
      <c r="M9" s="154">
        <v>15</v>
      </c>
      <c r="N9" s="4">
        <v>0</v>
      </c>
      <c r="O9" s="4">
        <v>0</v>
      </c>
    </row>
    <row r="10" spans="2:16" ht="12.75">
      <c r="B10" s="5">
        <f>B9/(B9+B3)</f>
        <v>0.05555555555555555</v>
      </c>
      <c r="C10" s="5">
        <f aca="true" t="shared" si="1" ref="C10:O10">C9/$B$3</f>
        <v>0</v>
      </c>
      <c r="D10" s="5">
        <f t="shared" si="1"/>
        <v>0</v>
      </c>
      <c r="E10" s="5">
        <f t="shared" si="1"/>
        <v>0</v>
      </c>
      <c r="F10" s="5">
        <f t="shared" si="1"/>
        <v>0.0196078431372549</v>
      </c>
      <c r="G10" s="5">
        <f t="shared" si="1"/>
        <v>0.0196078431372549</v>
      </c>
      <c r="H10" s="5">
        <f t="shared" si="1"/>
        <v>0</v>
      </c>
      <c r="I10" s="5">
        <f t="shared" si="1"/>
        <v>0.11764705882352941</v>
      </c>
      <c r="J10" s="5">
        <f t="shared" si="1"/>
        <v>0.0784313725490196</v>
      </c>
      <c r="K10" s="5">
        <f t="shared" si="1"/>
        <v>0.17647058823529413</v>
      </c>
      <c r="L10" s="5">
        <f t="shared" si="1"/>
        <v>0.29411764705882354</v>
      </c>
      <c r="M10" s="5">
        <f t="shared" si="1"/>
        <v>0.29411764705882354</v>
      </c>
      <c r="N10" s="5">
        <f t="shared" si="1"/>
        <v>0</v>
      </c>
      <c r="O10" s="5">
        <f t="shared" si="1"/>
        <v>0</v>
      </c>
      <c r="P10" s="6">
        <f>SUM(C10:O10)</f>
        <v>1</v>
      </c>
    </row>
    <row r="11" ht="12.75">
      <c r="C11" s="3"/>
    </row>
    <row r="12" ht="12.75">
      <c r="C12" s="3"/>
    </row>
    <row r="13" ht="12.75">
      <c r="C13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2007-10-22T05:43:39Z</dcterms:created>
  <dcterms:modified xsi:type="dcterms:W3CDTF">2012-10-22T16:59:30Z</dcterms:modified>
  <cp:category/>
  <cp:version/>
  <cp:contentType/>
  <cp:contentStatus/>
</cp:coreProperties>
</file>